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-216" yWindow="4992" windowWidth="24240" windowHeight="6156" tabRatio="699" activeTab="5"/>
  </bookViews>
  <sheets>
    <sheet name="Cooling Load" sheetId="22" r:id="rId1"/>
    <sheet name="LED Watts" sheetId="26" r:id="rId2"/>
    <sheet name="DI_EEM_Savings_16CTZ" sheetId="6" r:id="rId3"/>
    <sheet name="Multiplex_EEM_Savings_16CTZ" sheetId="24" r:id="rId4"/>
    <sheet name="Summary" sheetId="20" r:id="rId5"/>
    <sheet name="Calc Template Form" sheetId="27" r:id="rId6"/>
  </sheets>
  <definedNames>
    <definedName name="_xlnm.Print_Area" localSheetId="2">DI_EEM_Savings_16CTZ!$B$7:$GG$34</definedName>
    <definedName name="_xlnm.Print_Area" localSheetId="3">Multiplex_EEM_Savings_16CTZ!$B$7:$GG$34</definedName>
    <definedName name="_xlnm.Print_Area" localSheetId="4">Summary!$A$1:$AN$27</definedName>
  </definedNames>
  <calcPr calcId="152511"/>
</workbook>
</file>

<file path=xl/calcChain.xml><?xml version="1.0" encoding="utf-8"?>
<calcChain xmlns="http://schemas.openxmlformats.org/spreadsheetml/2006/main">
  <c r="AV68" i="20" l="1"/>
  <c r="AU68" i="20"/>
  <c r="AT68" i="20"/>
  <c r="AS68" i="20"/>
  <c r="AR68" i="20"/>
  <c r="AQ68" i="20"/>
  <c r="AV67" i="20"/>
  <c r="AU67" i="20"/>
  <c r="AT67" i="20"/>
  <c r="AS67" i="20"/>
  <c r="AR67" i="20"/>
  <c r="AQ67" i="20"/>
  <c r="AV66" i="20"/>
  <c r="AU66" i="20"/>
  <c r="AT66" i="20"/>
  <c r="AS66" i="20"/>
  <c r="AR66" i="20"/>
  <c r="AQ66" i="20"/>
  <c r="AV65" i="20"/>
  <c r="AU65" i="20"/>
  <c r="AT65" i="20"/>
  <c r="AS65" i="20"/>
  <c r="AR65" i="20"/>
  <c r="AQ65" i="20"/>
  <c r="AV64" i="20"/>
  <c r="AU64" i="20"/>
  <c r="AT64" i="20"/>
  <c r="AS64" i="20"/>
  <c r="AR64" i="20"/>
  <c r="AQ64" i="20"/>
  <c r="AD55" i="20"/>
  <c r="AD54" i="20"/>
  <c r="AL51" i="20"/>
  <c r="AK51" i="20"/>
  <c r="AH51" i="20"/>
  <c r="AG51" i="20"/>
  <c r="AD51" i="20"/>
  <c r="AC51" i="20"/>
  <c r="F51" i="20"/>
  <c r="E51" i="20"/>
  <c r="AL50" i="20"/>
  <c r="AK50" i="20"/>
  <c r="AH50" i="20"/>
  <c r="AG50" i="20"/>
  <c r="AD50" i="20"/>
  <c r="AC50" i="20"/>
  <c r="F50" i="20"/>
  <c r="E50" i="20"/>
  <c r="D7" i="20"/>
  <c r="D14" i="20" s="1"/>
  <c r="AM5" i="20"/>
  <c r="AM31" i="20" s="1"/>
  <c r="AK5" i="20"/>
  <c r="AK31" i="20" s="1"/>
  <c r="AI5" i="20"/>
  <c r="AI31" i="20" s="1"/>
  <c r="AG5" i="20"/>
  <c r="AG31" i="20" s="1"/>
  <c r="AE5" i="20"/>
  <c r="AE31" i="20" s="1"/>
  <c r="AC5" i="20"/>
  <c r="AC31" i="20" s="1"/>
  <c r="AA5" i="20"/>
  <c r="AA31" i="20" s="1"/>
  <c r="Y5" i="20"/>
  <c r="Y31" i="20" s="1"/>
  <c r="W5" i="20"/>
  <c r="W31" i="20" s="1"/>
  <c r="U5" i="20"/>
  <c r="U31" i="20" s="1"/>
  <c r="S5" i="20"/>
  <c r="S31" i="20" s="1"/>
  <c r="Q5" i="20"/>
  <c r="Q31" i="20" s="1"/>
  <c r="O5" i="20"/>
  <c r="O31" i="20" s="1"/>
  <c r="M5" i="20"/>
  <c r="M31" i="20" s="1"/>
  <c r="K5" i="20"/>
  <c r="K31" i="20" s="1"/>
  <c r="I5" i="20"/>
  <c r="I31" i="20" s="1"/>
  <c r="G5" i="20"/>
  <c r="G31" i="20" s="1"/>
  <c r="E5" i="20"/>
  <c r="E31" i="20" s="1"/>
  <c r="AM4" i="20"/>
  <c r="AM30" i="20" s="1"/>
  <c r="AK4" i="20"/>
  <c r="AK30" i="20" s="1"/>
  <c r="AI4" i="20"/>
  <c r="AI30" i="20" s="1"/>
  <c r="AG4" i="20"/>
  <c r="AG30" i="20" s="1"/>
  <c r="AE4" i="20"/>
  <c r="AE30" i="20" s="1"/>
  <c r="AC4" i="20"/>
  <c r="AC30" i="20" s="1"/>
  <c r="AA4" i="20"/>
  <c r="AA30" i="20" s="1"/>
  <c r="Y4" i="20"/>
  <c r="Y30" i="20" s="1"/>
  <c r="W4" i="20"/>
  <c r="W30" i="20" s="1"/>
  <c r="U4" i="20"/>
  <c r="U30" i="20" s="1"/>
  <c r="S4" i="20"/>
  <c r="S30" i="20" s="1"/>
  <c r="Q4" i="20"/>
  <c r="Q30" i="20" s="1"/>
  <c r="O4" i="20"/>
  <c r="O30" i="20" s="1"/>
  <c r="M4" i="20"/>
  <c r="M30" i="20" s="1"/>
  <c r="K4" i="20"/>
  <c r="K30" i="20" s="1"/>
  <c r="I4" i="20"/>
  <c r="I30" i="20" s="1"/>
  <c r="G4" i="20"/>
  <c r="G30" i="20" s="1"/>
  <c r="E4" i="20"/>
  <c r="E30" i="20" s="1"/>
  <c r="DG56" i="24"/>
  <c r="DG53" i="24"/>
  <c r="DG50" i="24"/>
  <c r="FW46" i="24"/>
  <c r="FX46" i="24" s="1"/>
  <c r="FZ46" i="24" s="1"/>
  <c r="FL46" i="24"/>
  <c r="FM46" i="24" s="1"/>
  <c r="FO46" i="24" s="1"/>
  <c r="FD46" i="24"/>
  <c r="FB46" i="24"/>
  <c r="FA46" i="24"/>
  <c r="EQ46" i="24"/>
  <c r="ES46" i="24" s="1"/>
  <c r="EP46" i="24"/>
  <c r="EE46" i="24"/>
  <c r="EF46" i="24" s="1"/>
  <c r="EH46" i="24" s="1"/>
  <c r="DT46" i="24"/>
  <c r="DU46" i="24" s="1"/>
  <c r="DW46" i="24" s="1"/>
  <c r="DL46" i="24"/>
  <c r="DJ46" i="24"/>
  <c r="DI46" i="24"/>
  <c r="CY46" i="24"/>
  <c r="DA46" i="24" s="1"/>
  <c r="CX46" i="24"/>
  <c r="CM46" i="24"/>
  <c r="CN46" i="24" s="1"/>
  <c r="CP46" i="24" s="1"/>
  <c r="CB46" i="24"/>
  <c r="CC46" i="24" s="1"/>
  <c r="CE46" i="24" s="1"/>
  <c r="BT46" i="24"/>
  <c r="BR46" i="24"/>
  <c r="BQ46" i="24"/>
  <c r="BG46" i="24"/>
  <c r="BI46" i="24" s="1"/>
  <c r="BF46" i="24"/>
  <c r="AU46" i="24"/>
  <c r="AV46" i="24" s="1"/>
  <c r="AX46" i="24" s="1"/>
  <c r="AJ46" i="24"/>
  <c r="AK46" i="24" s="1"/>
  <c r="AM46" i="24" s="1"/>
  <c r="AB46" i="24"/>
  <c r="Z46" i="24"/>
  <c r="Y46" i="24"/>
  <c r="O46" i="24"/>
  <c r="Q46" i="24" s="1"/>
  <c r="N46" i="24"/>
  <c r="F46" i="24"/>
  <c r="FW45" i="24"/>
  <c r="FX45" i="24" s="1"/>
  <c r="FZ45" i="24" s="1"/>
  <c r="FL45" i="24"/>
  <c r="FM45" i="24" s="1"/>
  <c r="FO45" i="24" s="1"/>
  <c r="FD45" i="24"/>
  <c r="FB45" i="24"/>
  <c r="FA45" i="24"/>
  <c r="EQ45" i="24"/>
  <c r="ES45" i="24" s="1"/>
  <c r="EP45" i="24"/>
  <c r="EE45" i="24"/>
  <c r="EF45" i="24" s="1"/>
  <c r="EH45" i="24" s="1"/>
  <c r="DT45" i="24"/>
  <c r="DU45" i="24" s="1"/>
  <c r="DW45" i="24" s="1"/>
  <c r="DL45" i="24"/>
  <c r="DJ45" i="24"/>
  <c r="DI45" i="24"/>
  <c r="CY45" i="24"/>
  <c r="DA45" i="24" s="1"/>
  <c r="CX45" i="24"/>
  <c r="CM45" i="24"/>
  <c r="CN45" i="24" s="1"/>
  <c r="CP45" i="24" s="1"/>
  <c r="CB45" i="24"/>
  <c r="CC45" i="24" s="1"/>
  <c r="CE45" i="24" s="1"/>
  <c r="BT45" i="24"/>
  <c r="BR45" i="24"/>
  <c r="BQ45" i="24"/>
  <c r="BG45" i="24"/>
  <c r="BI45" i="24" s="1"/>
  <c r="BF45" i="24"/>
  <c r="AU45" i="24"/>
  <c r="AV45" i="24" s="1"/>
  <c r="AX45" i="24" s="1"/>
  <c r="AJ45" i="24"/>
  <c r="AK45" i="24" s="1"/>
  <c r="AM45" i="24" s="1"/>
  <c r="AB45" i="24"/>
  <c r="Z45" i="24"/>
  <c r="Y45" i="24"/>
  <c r="O45" i="24"/>
  <c r="Q45" i="24" s="1"/>
  <c r="N45" i="24"/>
  <c r="F45" i="24"/>
  <c r="GT44" i="24"/>
  <c r="GS44" i="24"/>
  <c r="GR44" i="24"/>
  <c r="GQ44" i="24"/>
  <c r="GP44" i="24"/>
  <c r="GO44" i="24"/>
  <c r="GN44" i="24"/>
  <c r="GM44" i="24"/>
  <c r="GL44" i="24"/>
  <c r="GK44" i="24"/>
  <c r="GJ44" i="24"/>
  <c r="GI44" i="24"/>
  <c r="FW43" i="24"/>
  <c r="FX43" i="24" s="1"/>
  <c r="FZ43" i="24" s="1"/>
  <c r="FL43" i="24"/>
  <c r="FM43" i="24" s="1"/>
  <c r="FO43" i="24" s="1"/>
  <c r="FD43" i="24"/>
  <c r="FB43" i="24"/>
  <c r="FA43" i="24"/>
  <c r="EQ43" i="24"/>
  <c r="ES43" i="24" s="1"/>
  <c r="EP43" i="24"/>
  <c r="EE43" i="24"/>
  <c r="EF43" i="24" s="1"/>
  <c r="EH43" i="24" s="1"/>
  <c r="DT43" i="24"/>
  <c r="DU43" i="24" s="1"/>
  <c r="DW43" i="24" s="1"/>
  <c r="DL43" i="24"/>
  <c r="DJ43" i="24"/>
  <c r="DI43" i="24"/>
  <c r="CY43" i="24"/>
  <c r="DA43" i="24" s="1"/>
  <c r="CX43" i="24"/>
  <c r="CM43" i="24"/>
  <c r="CN43" i="24" s="1"/>
  <c r="CP43" i="24" s="1"/>
  <c r="CB43" i="24"/>
  <c r="CC43" i="24" s="1"/>
  <c r="CE43" i="24" s="1"/>
  <c r="BT43" i="24"/>
  <c r="BR43" i="24"/>
  <c r="BQ43" i="24"/>
  <c r="BG43" i="24"/>
  <c r="BI43" i="24" s="1"/>
  <c r="BF43" i="24"/>
  <c r="AU43" i="24"/>
  <c r="AV43" i="24" s="1"/>
  <c r="AX43" i="24" s="1"/>
  <c r="AJ43" i="24"/>
  <c r="AK43" i="24" s="1"/>
  <c r="AM43" i="24" s="1"/>
  <c r="Z43" i="24"/>
  <c r="AB43" i="24" s="1"/>
  <c r="Y43" i="24"/>
  <c r="O43" i="24"/>
  <c r="Q43" i="24" s="1"/>
  <c r="N43" i="24"/>
  <c r="F43" i="24"/>
  <c r="FW42" i="24"/>
  <c r="FX42" i="24" s="1"/>
  <c r="FZ42" i="24" s="1"/>
  <c r="FL42" i="24"/>
  <c r="FM42" i="24" s="1"/>
  <c r="FO42" i="24" s="1"/>
  <c r="FB42" i="24"/>
  <c r="FD42" i="24" s="1"/>
  <c r="FA42" i="24"/>
  <c r="EQ42" i="24"/>
  <c r="ES42" i="24" s="1"/>
  <c r="EP42" i="24"/>
  <c r="EE42" i="24"/>
  <c r="EF42" i="24" s="1"/>
  <c r="EH42" i="24" s="1"/>
  <c r="DT42" i="24"/>
  <c r="DU42" i="24" s="1"/>
  <c r="DW42" i="24" s="1"/>
  <c r="DJ42" i="24"/>
  <c r="DL42" i="24" s="1"/>
  <c r="DI42" i="24"/>
  <c r="CY42" i="24"/>
  <c r="DA42" i="24" s="1"/>
  <c r="CX42" i="24"/>
  <c r="CM42" i="24"/>
  <c r="CN42" i="24" s="1"/>
  <c r="CP42" i="24" s="1"/>
  <c r="CB42" i="24"/>
  <c r="CC42" i="24" s="1"/>
  <c r="CE42" i="24" s="1"/>
  <c r="BR42" i="24"/>
  <c r="BT42" i="24" s="1"/>
  <c r="BQ42" i="24"/>
  <c r="BG42" i="24"/>
  <c r="BI42" i="24" s="1"/>
  <c r="BF42" i="24"/>
  <c r="AU42" i="24"/>
  <c r="AV42" i="24" s="1"/>
  <c r="AX42" i="24" s="1"/>
  <c r="AJ42" i="24"/>
  <c r="AK42" i="24" s="1"/>
  <c r="AM42" i="24" s="1"/>
  <c r="Z42" i="24"/>
  <c r="AB42" i="24" s="1"/>
  <c r="Y42" i="24"/>
  <c r="O42" i="24"/>
  <c r="Q42" i="24" s="1"/>
  <c r="N42" i="24"/>
  <c r="F42" i="24"/>
  <c r="GT41" i="24"/>
  <c r="GS41" i="24"/>
  <c r="GR41" i="24"/>
  <c r="GQ41" i="24"/>
  <c r="GP41" i="24"/>
  <c r="GO41" i="24"/>
  <c r="GN41" i="24"/>
  <c r="GM41" i="24"/>
  <c r="GL41" i="24"/>
  <c r="GK41" i="24"/>
  <c r="GJ41" i="24"/>
  <c r="GI41" i="24"/>
  <c r="FW40" i="24"/>
  <c r="FX40" i="24" s="1"/>
  <c r="FZ40" i="24" s="1"/>
  <c r="FL40" i="24"/>
  <c r="FM40" i="24" s="1"/>
  <c r="FO40" i="24" s="1"/>
  <c r="FB40" i="24"/>
  <c r="FD40" i="24" s="1"/>
  <c r="FA40" i="24"/>
  <c r="EQ40" i="24"/>
  <c r="ES40" i="24" s="1"/>
  <c r="EP40" i="24"/>
  <c r="EE40" i="24"/>
  <c r="EF40" i="24" s="1"/>
  <c r="EH40" i="24" s="1"/>
  <c r="DT40" i="24"/>
  <c r="DU40" i="24" s="1"/>
  <c r="DW40" i="24" s="1"/>
  <c r="DJ40" i="24"/>
  <c r="DL40" i="24" s="1"/>
  <c r="DI40" i="24"/>
  <c r="CY40" i="24"/>
  <c r="DA40" i="24" s="1"/>
  <c r="CX40" i="24"/>
  <c r="CM40" i="24"/>
  <c r="CN40" i="24" s="1"/>
  <c r="CP40" i="24" s="1"/>
  <c r="CE40" i="24"/>
  <c r="CC40" i="24"/>
  <c r="CB40" i="24"/>
  <c r="BR40" i="24"/>
  <c r="BT40" i="24" s="1"/>
  <c r="BQ40" i="24"/>
  <c r="BG40" i="24"/>
  <c r="BI40" i="24" s="1"/>
  <c r="BF40" i="24"/>
  <c r="AU40" i="24"/>
  <c r="AV40" i="24" s="1"/>
  <c r="AX40" i="24" s="1"/>
  <c r="AM40" i="24"/>
  <c r="AK40" i="24"/>
  <c r="AJ40" i="24"/>
  <c r="Z40" i="24"/>
  <c r="AB40" i="24" s="1"/>
  <c r="Y40" i="24"/>
  <c r="O40" i="24"/>
  <c r="Q40" i="24" s="1"/>
  <c r="N40" i="24"/>
  <c r="F40" i="24"/>
  <c r="FW39" i="24"/>
  <c r="FX39" i="24" s="1"/>
  <c r="FZ39" i="24" s="1"/>
  <c r="FO39" i="24"/>
  <c r="FM39" i="24"/>
  <c r="FL39" i="24"/>
  <c r="FB39" i="24"/>
  <c r="FD39" i="24" s="1"/>
  <c r="FA39" i="24"/>
  <c r="EQ39" i="24"/>
  <c r="ES39" i="24" s="1"/>
  <c r="EP39" i="24"/>
  <c r="EE39" i="24"/>
  <c r="EF39" i="24" s="1"/>
  <c r="EH39" i="24" s="1"/>
  <c r="DW39" i="24"/>
  <c r="DU39" i="24"/>
  <c r="DT39" i="24"/>
  <c r="DJ39" i="24"/>
  <c r="DL39" i="24" s="1"/>
  <c r="DI39" i="24"/>
  <c r="CY39" i="24"/>
  <c r="DA39" i="24" s="1"/>
  <c r="CX39" i="24"/>
  <c r="CM39" i="24"/>
  <c r="CN39" i="24" s="1"/>
  <c r="CP39" i="24" s="1"/>
  <c r="CE39" i="24"/>
  <c r="CC39" i="24"/>
  <c r="CB39" i="24"/>
  <c r="BR39" i="24"/>
  <c r="BT39" i="24" s="1"/>
  <c r="BQ39" i="24"/>
  <c r="BG39" i="24"/>
  <c r="BI39" i="24" s="1"/>
  <c r="BF39" i="24"/>
  <c r="AU39" i="24"/>
  <c r="AV39" i="24" s="1"/>
  <c r="AX39" i="24" s="1"/>
  <c r="AM39" i="24"/>
  <c r="AK39" i="24"/>
  <c r="AJ39" i="24"/>
  <c r="Z39" i="24"/>
  <c r="AB39" i="24" s="1"/>
  <c r="Y39" i="24"/>
  <c r="O39" i="24"/>
  <c r="Q39" i="24" s="1"/>
  <c r="N39" i="24"/>
  <c r="F39" i="24"/>
  <c r="FW38" i="24"/>
  <c r="FX38" i="24" s="1"/>
  <c r="FZ38" i="24" s="1"/>
  <c r="FO38" i="24"/>
  <c r="FM38" i="24"/>
  <c r="FL38" i="24"/>
  <c r="FB38" i="24"/>
  <c r="FD38" i="24" s="1"/>
  <c r="FA38" i="24"/>
  <c r="EQ38" i="24"/>
  <c r="ES38" i="24" s="1"/>
  <c r="EP38" i="24"/>
  <c r="EE38" i="24"/>
  <c r="EF38" i="24" s="1"/>
  <c r="EH38" i="24" s="1"/>
  <c r="DW38" i="24"/>
  <c r="DU38" i="24"/>
  <c r="DT38" i="24"/>
  <c r="DJ38" i="24"/>
  <c r="DL38" i="24" s="1"/>
  <c r="DI38" i="24"/>
  <c r="CY38" i="24"/>
  <c r="DA38" i="24" s="1"/>
  <c r="CX38" i="24"/>
  <c r="CM38" i="24"/>
  <c r="CN38" i="24" s="1"/>
  <c r="CP38" i="24" s="1"/>
  <c r="CE38" i="24"/>
  <c r="CC38" i="24"/>
  <c r="CB38" i="24"/>
  <c r="BR38" i="24"/>
  <c r="BT38" i="24" s="1"/>
  <c r="BQ38" i="24"/>
  <c r="BG38" i="24"/>
  <c r="BI38" i="24" s="1"/>
  <c r="BF38" i="24"/>
  <c r="AU38" i="24"/>
  <c r="AV38" i="24" s="1"/>
  <c r="AX38" i="24" s="1"/>
  <c r="AM38" i="24"/>
  <c r="AK38" i="24"/>
  <c r="AJ38" i="24"/>
  <c r="Z38" i="24"/>
  <c r="AB38" i="24" s="1"/>
  <c r="Y38" i="24"/>
  <c r="O38" i="24"/>
  <c r="Q38" i="24" s="1"/>
  <c r="N38" i="24"/>
  <c r="F38" i="24"/>
  <c r="FW37" i="24"/>
  <c r="FX37" i="24" s="1"/>
  <c r="FZ37" i="24" s="1"/>
  <c r="FO37" i="24"/>
  <c r="FM37" i="24"/>
  <c r="FL37" i="24"/>
  <c r="FB37" i="24"/>
  <c r="FD37" i="24" s="1"/>
  <c r="FA37" i="24"/>
  <c r="EQ37" i="24"/>
  <c r="ES37" i="24" s="1"/>
  <c r="EP37" i="24"/>
  <c r="EE37" i="24"/>
  <c r="EF37" i="24" s="1"/>
  <c r="EH37" i="24" s="1"/>
  <c r="DW37" i="24"/>
  <c r="DU37" i="24"/>
  <c r="DT37" i="24"/>
  <c r="DJ37" i="24"/>
  <c r="DL37" i="24" s="1"/>
  <c r="DI37" i="24"/>
  <c r="CY37" i="24"/>
  <c r="DA37" i="24" s="1"/>
  <c r="CX37" i="24"/>
  <c r="CP37" i="24"/>
  <c r="CM37" i="24"/>
  <c r="CN37" i="24" s="1"/>
  <c r="CC37" i="24"/>
  <c r="CE37" i="24" s="1"/>
  <c r="CB37" i="24"/>
  <c r="BQ37" i="24"/>
  <c r="BR37" i="24" s="1"/>
  <c r="BT37" i="24" s="1"/>
  <c r="BF37" i="24"/>
  <c r="BG37" i="24" s="1"/>
  <c r="BI37" i="24" s="1"/>
  <c r="AX37" i="24"/>
  <c r="AU37" i="24"/>
  <c r="AV37" i="24" s="1"/>
  <c r="AM37" i="24"/>
  <c r="AK37" i="24"/>
  <c r="AJ37" i="24"/>
  <c r="Z37" i="24"/>
  <c r="AB37" i="24" s="1"/>
  <c r="Y37" i="24"/>
  <c r="O37" i="24"/>
  <c r="Q37" i="24" s="1"/>
  <c r="N37" i="24"/>
  <c r="F37" i="24"/>
  <c r="GT36" i="24"/>
  <c r="GS36" i="24"/>
  <c r="GR36" i="24"/>
  <c r="GQ36" i="24"/>
  <c r="GP36" i="24"/>
  <c r="GO36" i="24"/>
  <c r="GN36" i="24"/>
  <c r="GM36" i="24"/>
  <c r="GL36" i="24"/>
  <c r="GK36" i="24"/>
  <c r="GJ36" i="24"/>
  <c r="GI36" i="24"/>
  <c r="FZ33" i="24"/>
  <c r="FW33" i="24"/>
  <c r="FX33" i="24" s="1"/>
  <c r="FO33" i="24"/>
  <c r="FM33" i="24"/>
  <c r="FL33" i="24"/>
  <c r="FB33" i="24"/>
  <c r="FD33" i="24" s="1"/>
  <c r="FA33" i="24"/>
  <c r="EQ33" i="24"/>
  <c r="ES33" i="24" s="1"/>
  <c r="EP33" i="24"/>
  <c r="EE33" i="24"/>
  <c r="EF33" i="24" s="1"/>
  <c r="EH33" i="24" s="1"/>
  <c r="DU33" i="24"/>
  <c r="DW33" i="24" s="1"/>
  <c r="DT33" i="24"/>
  <c r="DI33" i="24"/>
  <c r="DJ33" i="24" s="1"/>
  <c r="DL33" i="24" s="1"/>
  <c r="CY33" i="24"/>
  <c r="DA33" i="24" s="1"/>
  <c r="CX33" i="24"/>
  <c r="CN33" i="24"/>
  <c r="CP33" i="24" s="1"/>
  <c r="CM33" i="24"/>
  <c r="CB33" i="24"/>
  <c r="CC33" i="24" s="1"/>
  <c r="CE33" i="24" s="1"/>
  <c r="BQ33" i="24"/>
  <c r="BR33" i="24" s="1"/>
  <c r="BT33" i="24" s="1"/>
  <c r="BG33" i="24"/>
  <c r="BI33" i="24" s="1"/>
  <c r="BF33" i="24"/>
  <c r="AV33" i="24"/>
  <c r="AX33" i="24" s="1"/>
  <c r="AU33" i="24"/>
  <c r="AJ33" i="24"/>
  <c r="AK33" i="24" s="1"/>
  <c r="AM33" i="24" s="1"/>
  <c r="Y33" i="24"/>
  <c r="Z33" i="24" s="1"/>
  <c r="AB33" i="24" s="1"/>
  <c r="O33" i="24"/>
  <c r="Q33" i="24" s="1"/>
  <c r="N33" i="24"/>
  <c r="F33" i="24"/>
  <c r="FX32" i="24"/>
  <c r="FZ32" i="24" s="1"/>
  <c r="FW32" i="24"/>
  <c r="FL32" i="24"/>
  <c r="FM32" i="24" s="1"/>
  <c r="FO32" i="24" s="1"/>
  <c r="FA32" i="24"/>
  <c r="FB32" i="24" s="1"/>
  <c r="FD32" i="24" s="1"/>
  <c r="EQ32" i="24"/>
  <c r="ES32" i="24" s="1"/>
  <c r="EP32" i="24"/>
  <c r="EF32" i="24"/>
  <c r="EH32" i="24" s="1"/>
  <c r="EE32" i="24"/>
  <c r="DT32" i="24"/>
  <c r="DU32" i="24" s="1"/>
  <c r="DW32" i="24" s="1"/>
  <c r="DI32" i="24"/>
  <c r="DJ32" i="24" s="1"/>
  <c r="DL32" i="24" s="1"/>
  <c r="CY32" i="24"/>
  <c r="DA32" i="24" s="1"/>
  <c r="CX32" i="24"/>
  <c r="CM32" i="24"/>
  <c r="CN32" i="24" s="1"/>
  <c r="CP32" i="24" s="1"/>
  <c r="CB32" i="24"/>
  <c r="CC32" i="24" s="1"/>
  <c r="CE32" i="24" s="1"/>
  <c r="BQ32" i="24"/>
  <c r="BR32" i="24" s="1"/>
  <c r="BT32" i="24" s="1"/>
  <c r="BG32" i="24"/>
  <c r="BI32" i="24" s="1"/>
  <c r="BF32" i="24"/>
  <c r="AU32" i="24"/>
  <c r="AV32" i="24" s="1"/>
  <c r="AX32" i="24" s="1"/>
  <c r="AJ32" i="24"/>
  <c r="AK32" i="24" s="1"/>
  <c r="AM32" i="24" s="1"/>
  <c r="Y32" i="24"/>
  <c r="Z32" i="24" s="1"/>
  <c r="AB32" i="24" s="1"/>
  <c r="O32" i="24"/>
  <c r="Q32" i="24" s="1"/>
  <c r="N32" i="24"/>
  <c r="F32" i="24"/>
  <c r="GT31" i="24"/>
  <c r="GS31" i="24"/>
  <c r="GR31" i="24"/>
  <c r="GQ31" i="24"/>
  <c r="GP31" i="24"/>
  <c r="GO31" i="24"/>
  <c r="GN31" i="24"/>
  <c r="GM31" i="24"/>
  <c r="GL31" i="24"/>
  <c r="GK31" i="24"/>
  <c r="GJ31" i="24"/>
  <c r="GI31" i="24"/>
  <c r="FW30" i="24"/>
  <c r="FX30" i="24" s="1"/>
  <c r="FZ30" i="24" s="1"/>
  <c r="FL30" i="24"/>
  <c r="FM30" i="24" s="1"/>
  <c r="FO30" i="24" s="1"/>
  <c r="FA30" i="24"/>
  <c r="FB30" i="24" s="1"/>
  <c r="FD30" i="24" s="1"/>
  <c r="EQ30" i="24"/>
  <c r="ES30" i="24" s="1"/>
  <c r="EP30" i="24"/>
  <c r="EE30" i="24"/>
  <c r="EF30" i="24" s="1"/>
  <c r="EH30" i="24" s="1"/>
  <c r="DT30" i="24"/>
  <c r="DU30" i="24" s="1"/>
  <c r="DW30" i="24" s="1"/>
  <c r="DI30" i="24"/>
  <c r="DJ30" i="24" s="1"/>
  <c r="DL30" i="24" s="1"/>
  <c r="CY30" i="24"/>
  <c r="DA30" i="24" s="1"/>
  <c r="CX30" i="24"/>
  <c r="CM30" i="24"/>
  <c r="CN30" i="24" s="1"/>
  <c r="CP30" i="24" s="1"/>
  <c r="CB30" i="24"/>
  <c r="CC30" i="24" s="1"/>
  <c r="CE30" i="24" s="1"/>
  <c r="BT30" i="24"/>
  <c r="BR30" i="24"/>
  <c r="BQ30" i="24"/>
  <c r="BG30" i="24"/>
  <c r="BI30" i="24" s="1"/>
  <c r="BF30" i="24"/>
  <c r="AU30" i="24"/>
  <c r="AV30" i="24" s="1"/>
  <c r="AX30" i="24" s="1"/>
  <c r="AJ30" i="24"/>
  <c r="AK30" i="24" s="1"/>
  <c r="AM30" i="24" s="1"/>
  <c r="AB30" i="24"/>
  <c r="Z30" i="24"/>
  <c r="Y30" i="24"/>
  <c r="O30" i="24"/>
  <c r="Q30" i="24" s="1"/>
  <c r="N30" i="24"/>
  <c r="F30" i="24"/>
  <c r="FW29" i="24"/>
  <c r="FX29" i="24" s="1"/>
  <c r="FZ29" i="24" s="1"/>
  <c r="FL29" i="24"/>
  <c r="FM29" i="24" s="1"/>
  <c r="FO29" i="24" s="1"/>
  <c r="FD29" i="24"/>
  <c r="FB29" i="24"/>
  <c r="FA29" i="24"/>
  <c r="EQ29" i="24"/>
  <c r="ES29" i="24" s="1"/>
  <c r="EP29" i="24"/>
  <c r="EE29" i="24"/>
  <c r="EF29" i="24" s="1"/>
  <c r="EH29" i="24" s="1"/>
  <c r="DT29" i="24"/>
  <c r="DU29" i="24" s="1"/>
  <c r="DW29" i="24" s="1"/>
  <c r="DL29" i="24"/>
  <c r="DJ29" i="24"/>
  <c r="DI29" i="24"/>
  <c r="CY29" i="24"/>
  <c r="DA29" i="24" s="1"/>
  <c r="CX29" i="24"/>
  <c r="CM29" i="24"/>
  <c r="CN29" i="24" s="1"/>
  <c r="CP29" i="24" s="1"/>
  <c r="CB29" i="24"/>
  <c r="CC29" i="24" s="1"/>
  <c r="CE29" i="24" s="1"/>
  <c r="BT29" i="24"/>
  <c r="BR29" i="24"/>
  <c r="BQ29" i="24"/>
  <c r="BG29" i="24"/>
  <c r="BI29" i="24" s="1"/>
  <c r="BF29" i="24"/>
  <c r="AU29" i="24"/>
  <c r="AV29" i="24" s="1"/>
  <c r="AX29" i="24" s="1"/>
  <c r="AJ29" i="24"/>
  <c r="AK29" i="24" s="1"/>
  <c r="AM29" i="24" s="1"/>
  <c r="AB29" i="24"/>
  <c r="Z29" i="24"/>
  <c r="Y29" i="24"/>
  <c r="O29" i="24"/>
  <c r="Q29" i="24" s="1"/>
  <c r="N29" i="24"/>
  <c r="F29" i="24"/>
  <c r="GT28" i="24"/>
  <c r="GS28" i="24"/>
  <c r="GR28" i="24"/>
  <c r="GQ28" i="24"/>
  <c r="GP28" i="24"/>
  <c r="GO28" i="24"/>
  <c r="GN28" i="24"/>
  <c r="GM28" i="24"/>
  <c r="GL28" i="24"/>
  <c r="GK28" i="24"/>
  <c r="GJ28" i="24"/>
  <c r="GI28" i="24"/>
  <c r="FW27" i="24"/>
  <c r="FX27" i="24" s="1"/>
  <c r="FZ27" i="24" s="1"/>
  <c r="FL27" i="24"/>
  <c r="FM27" i="24" s="1"/>
  <c r="FO27" i="24" s="1"/>
  <c r="FD27" i="24"/>
  <c r="FB27" i="24"/>
  <c r="FA27" i="24"/>
  <c r="EQ27" i="24"/>
  <c r="ES27" i="24" s="1"/>
  <c r="EP27" i="24"/>
  <c r="EE27" i="24"/>
  <c r="EF27" i="24" s="1"/>
  <c r="EH27" i="24" s="1"/>
  <c r="DT27" i="24"/>
  <c r="DU27" i="24" s="1"/>
  <c r="DW27" i="24" s="1"/>
  <c r="DL27" i="24"/>
  <c r="DJ27" i="24"/>
  <c r="DI27" i="24"/>
  <c r="CY27" i="24"/>
  <c r="DA27" i="24" s="1"/>
  <c r="CX27" i="24"/>
  <c r="CM27" i="24"/>
  <c r="CN27" i="24" s="1"/>
  <c r="CP27" i="24" s="1"/>
  <c r="CB27" i="24"/>
  <c r="CC27" i="24" s="1"/>
  <c r="CE27" i="24" s="1"/>
  <c r="BT27" i="24"/>
  <c r="BR27" i="24"/>
  <c r="BQ27" i="24"/>
  <c r="BG27" i="24"/>
  <c r="BI27" i="24" s="1"/>
  <c r="BF27" i="24"/>
  <c r="AU27" i="24"/>
  <c r="AV27" i="24" s="1"/>
  <c r="AX27" i="24" s="1"/>
  <c r="AJ27" i="24"/>
  <c r="AK27" i="24" s="1"/>
  <c r="AM27" i="24" s="1"/>
  <c r="Z27" i="24"/>
  <c r="AB27" i="24" s="1"/>
  <c r="Y27" i="24"/>
  <c r="O27" i="24"/>
  <c r="Q27" i="24" s="1"/>
  <c r="N27" i="24"/>
  <c r="F27" i="24"/>
  <c r="FW26" i="24"/>
  <c r="FX26" i="24" s="1"/>
  <c r="FZ26" i="24" s="1"/>
  <c r="FL26" i="24"/>
  <c r="FM26" i="24" s="1"/>
  <c r="FO26" i="24" s="1"/>
  <c r="FB26" i="24"/>
  <c r="FD26" i="24" s="1"/>
  <c r="FA26" i="24"/>
  <c r="EQ26" i="24"/>
  <c r="ES26" i="24" s="1"/>
  <c r="EP26" i="24"/>
  <c r="EE26" i="24"/>
  <c r="EF26" i="24" s="1"/>
  <c r="EH26" i="24" s="1"/>
  <c r="DT26" i="24"/>
  <c r="DU26" i="24" s="1"/>
  <c r="DW26" i="24" s="1"/>
  <c r="DJ26" i="24"/>
  <c r="DL26" i="24" s="1"/>
  <c r="DI26" i="24"/>
  <c r="CY26" i="24"/>
  <c r="DA26" i="24" s="1"/>
  <c r="CX26" i="24"/>
  <c r="CM26" i="24"/>
  <c r="CN26" i="24" s="1"/>
  <c r="CP26" i="24" s="1"/>
  <c r="CB26" i="24"/>
  <c r="CC26" i="24" s="1"/>
  <c r="CE26" i="24" s="1"/>
  <c r="BR26" i="24"/>
  <c r="BT26" i="24" s="1"/>
  <c r="BQ26" i="24"/>
  <c r="BG26" i="24"/>
  <c r="BI26" i="24" s="1"/>
  <c r="BF26" i="24"/>
  <c r="AU26" i="24"/>
  <c r="AV26" i="24" s="1"/>
  <c r="AX26" i="24" s="1"/>
  <c r="AJ26" i="24"/>
  <c r="AK26" i="24" s="1"/>
  <c r="AM26" i="24" s="1"/>
  <c r="Z26" i="24"/>
  <c r="AB26" i="24" s="1"/>
  <c r="Y26" i="24"/>
  <c r="O26" i="24"/>
  <c r="Q26" i="24" s="1"/>
  <c r="N26" i="24"/>
  <c r="F26" i="24"/>
  <c r="FW25" i="24"/>
  <c r="FX25" i="24" s="1"/>
  <c r="FZ25" i="24" s="1"/>
  <c r="FL25" i="24"/>
  <c r="FM25" i="24" s="1"/>
  <c r="FO25" i="24" s="1"/>
  <c r="FB25" i="24"/>
  <c r="FD25" i="24" s="1"/>
  <c r="FA25" i="24"/>
  <c r="EQ25" i="24"/>
  <c r="ES25" i="24" s="1"/>
  <c r="EP25" i="24"/>
  <c r="EE25" i="24"/>
  <c r="EF25" i="24" s="1"/>
  <c r="EH25" i="24" s="1"/>
  <c r="DW25" i="24"/>
  <c r="DU25" i="24"/>
  <c r="DT25" i="24"/>
  <c r="DJ25" i="24"/>
  <c r="DL25" i="24" s="1"/>
  <c r="DI25" i="24"/>
  <c r="CY25" i="24"/>
  <c r="DA25" i="24" s="1"/>
  <c r="CX25" i="24"/>
  <c r="CM25" i="24"/>
  <c r="CN25" i="24" s="1"/>
  <c r="CP25" i="24" s="1"/>
  <c r="CE25" i="24"/>
  <c r="CC25" i="24"/>
  <c r="CB25" i="24"/>
  <c r="BR25" i="24"/>
  <c r="BT25" i="24" s="1"/>
  <c r="BQ25" i="24"/>
  <c r="BG25" i="24"/>
  <c r="BI25" i="24" s="1"/>
  <c r="BF25" i="24"/>
  <c r="AU25" i="24"/>
  <c r="AV25" i="24" s="1"/>
  <c r="AX25" i="24" s="1"/>
  <c r="AM25" i="24"/>
  <c r="AK25" i="24"/>
  <c r="AJ25" i="24"/>
  <c r="Z25" i="24"/>
  <c r="AB25" i="24" s="1"/>
  <c r="Y25" i="24"/>
  <c r="O25" i="24"/>
  <c r="Q25" i="24" s="1"/>
  <c r="N25" i="24"/>
  <c r="F25" i="24"/>
  <c r="FW24" i="24"/>
  <c r="FX24" i="24" s="1"/>
  <c r="FZ24" i="24" s="1"/>
  <c r="FO24" i="24"/>
  <c r="FM24" i="24"/>
  <c r="FL24" i="24"/>
  <c r="FB24" i="24"/>
  <c r="FD24" i="24" s="1"/>
  <c r="FA24" i="24"/>
  <c r="EP24" i="24"/>
  <c r="EQ24" i="24" s="1"/>
  <c r="EH24" i="24"/>
  <c r="EE24" i="24"/>
  <c r="EF24" i="24" s="1"/>
  <c r="DW24" i="24"/>
  <c r="DU24" i="24"/>
  <c r="DT24" i="24"/>
  <c r="DJ24" i="24"/>
  <c r="DL24" i="24" s="1"/>
  <c r="DI24" i="24"/>
  <c r="CY24" i="24"/>
  <c r="DA24" i="24" s="1"/>
  <c r="CX24" i="24"/>
  <c r="CM24" i="24"/>
  <c r="CN24" i="24" s="1"/>
  <c r="CP24" i="24" s="1"/>
  <c r="CE24" i="24"/>
  <c r="CC24" i="24"/>
  <c r="CB24" i="24"/>
  <c r="BR24" i="24"/>
  <c r="BT24" i="24" s="1"/>
  <c r="BQ24" i="24"/>
  <c r="BF24" i="24"/>
  <c r="BG24" i="24" s="1"/>
  <c r="BI24" i="24" s="1"/>
  <c r="AX24" i="24"/>
  <c r="AU24" i="24"/>
  <c r="AV24" i="24" s="1"/>
  <c r="AM24" i="24"/>
  <c r="AK24" i="24"/>
  <c r="AJ24" i="24"/>
  <c r="Y24" i="24"/>
  <c r="Z24" i="24" s="1"/>
  <c r="AB24" i="24" s="1"/>
  <c r="N24" i="24"/>
  <c r="O24" i="24" s="1"/>
  <c r="Q24" i="24" s="1"/>
  <c r="F24" i="24"/>
  <c r="GT23" i="24"/>
  <c r="GS23" i="24"/>
  <c r="GR23" i="24"/>
  <c r="GQ23" i="24"/>
  <c r="GP23" i="24"/>
  <c r="GO23" i="24"/>
  <c r="GN23" i="24"/>
  <c r="GM23" i="24"/>
  <c r="GL23" i="24"/>
  <c r="GK23" i="24"/>
  <c r="GJ23" i="24"/>
  <c r="GI23" i="24"/>
  <c r="FZ22" i="24"/>
  <c r="FW22" i="24"/>
  <c r="FX22" i="24" s="1"/>
  <c r="FO22" i="24"/>
  <c r="FM22" i="24"/>
  <c r="FL22" i="24"/>
  <c r="FA22" i="24"/>
  <c r="FB22" i="24" s="1"/>
  <c r="FD22" i="24" s="1"/>
  <c r="EP22" i="24"/>
  <c r="EQ22" i="24" s="1"/>
  <c r="ES22" i="24" s="1"/>
  <c r="EF22" i="24"/>
  <c r="EH22" i="24" s="1"/>
  <c r="EE22" i="24"/>
  <c r="DT22" i="24"/>
  <c r="DU22" i="24" s="1"/>
  <c r="DW22" i="24" s="1"/>
  <c r="DI22" i="24"/>
  <c r="DJ22" i="24" s="1"/>
  <c r="DL22" i="24" s="1"/>
  <c r="CX22" i="24"/>
  <c r="CY22" i="24" s="1"/>
  <c r="DA22" i="24" s="1"/>
  <c r="CN22" i="24"/>
  <c r="CP22" i="24" s="1"/>
  <c r="CM22" i="24"/>
  <c r="CB22" i="24"/>
  <c r="CC22" i="24" s="1"/>
  <c r="CE22" i="24" s="1"/>
  <c r="BQ22" i="24"/>
  <c r="BR22" i="24" s="1"/>
  <c r="BT22" i="24" s="1"/>
  <c r="BF22" i="24"/>
  <c r="BG22" i="24" s="1"/>
  <c r="BI22" i="24" s="1"/>
  <c r="AV22" i="24"/>
  <c r="AX22" i="24" s="1"/>
  <c r="AU22" i="24"/>
  <c r="AJ22" i="24"/>
  <c r="AK22" i="24" s="1"/>
  <c r="AM22" i="24" s="1"/>
  <c r="Y22" i="24"/>
  <c r="Z22" i="24" s="1"/>
  <c r="AB22" i="24" s="1"/>
  <c r="N22" i="24"/>
  <c r="O22" i="24" s="1"/>
  <c r="Q22" i="24" s="1"/>
  <c r="F22" i="24"/>
  <c r="FX21" i="24"/>
  <c r="FZ21" i="24" s="1"/>
  <c r="FW21" i="24"/>
  <c r="FL21" i="24"/>
  <c r="FM21" i="24" s="1"/>
  <c r="FO21" i="24" s="1"/>
  <c r="FA21" i="24"/>
  <c r="FB21" i="24" s="1"/>
  <c r="FD21" i="24" s="1"/>
  <c r="EP21" i="24"/>
  <c r="EQ21" i="24" s="1"/>
  <c r="ES21" i="24" s="1"/>
  <c r="EF21" i="24"/>
  <c r="EH21" i="24" s="1"/>
  <c r="EE21" i="24"/>
  <c r="DT21" i="24"/>
  <c r="DU21" i="24" s="1"/>
  <c r="DW21" i="24" s="1"/>
  <c r="DI21" i="24"/>
  <c r="DJ21" i="24" s="1"/>
  <c r="DL21" i="24" s="1"/>
  <c r="CX21" i="24"/>
  <c r="CY21" i="24" s="1"/>
  <c r="DA21" i="24" s="1"/>
  <c r="CN21" i="24"/>
  <c r="CP21" i="24" s="1"/>
  <c r="CM21" i="24"/>
  <c r="CB21" i="24"/>
  <c r="CC21" i="24" s="1"/>
  <c r="CE21" i="24" s="1"/>
  <c r="BQ21" i="24"/>
  <c r="BR21" i="24" s="1"/>
  <c r="BT21" i="24" s="1"/>
  <c r="BF21" i="24"/>
  <c r="BG21" i="24" s="1"/>
  <c r="BI21" i="24" s="1"/>
  <c r="AV21" i="24"/>
  <c r="AX21" i="24" s="1"/>
  <c r="AU21" i="24"/>
  <c r="AJ21" i="24"/>
  <c r="AK21" i="24" s="1"/>
  <c r="AM21" i="24" s="1"/>
  <c r="Y21" i="24"/>
  <c r="Z21" i="24" s="1"/>
  <c r="AB21" i="24" s="1"/>
  <c r="N21" i="24"/>
  <c r="O21" i="24" s="1"/>
  <c r="Q21" i="24" s="1"/>
  <c r="F21" i="24"/>
  <c r="GT20" i="24"/>
  <c r="GS20" i="24"/>
  <c r="GR20" i="24"/>
  <c r="GQ20" i="24"/>
  <c r="GP20" i="24"/>
  <c r="GO20" i="24"/>
  <c r="GN20" i="24"/>
  <c r="GM20" i="24"/>
  <c r="GL20" i="24"/>
  <c r="GK20" i="24"/>
  <c r="GJ20" i="24"/>
  <c r="GI20" i="24"/>
  <c r="DG56" i="6"/>
  <c r="DG53" i="6"/>
  <c r="DG50" i="6"/>
  <c r="FW46" i="6"/>
  <c r="FL46" i="6"/>
  <c r="FA46" i="6"/>
  <c r="EP46" i="6"/>
  <c r="EE46" i="6"/>
  <c r="DT46" i="6"/>
  <c r="DI46" i="6"/>
  <c r="CX46" i="6"/>
  <c r="CM46" i="6"/>
  <c r="CB46" i="6"/>
  <c r="BQ46" i="6"/>
  <c r="BF46" i="6"/>
  <c r="AU46" i="6"/>
  <c r="AJ46" i="6"/>
  <c r="Y46" i="6"/>
  <c r="N46" i="6"/>
  <c r="F46" i="6"/>
  <c r="FW45" i="6"/>
  <c r="FL45" i="6"/>
  <c r="FA45" i="6"/>
  <c r="EP45" i="6"/>
  <c r="EE45" i="6"/>
  <c r="DT45" i="6"/>
  <c r="DI45" i="6"/>
  <c r="CX45" i="6"/>
  <c r="CM45" i="6"/>
  <c r="CB45" i="6"/>
  <c r="BQ45" i="6"/>
  <c r="BF45" i="6"/>
  <c r="AU45" i="6"/>
  <c r="AJ45" i="6"/>
  <c r="Y45" i="6"/>
  <c r="N45" i="6"/>
  <c r="F45" i="6"/>
  <c r="GT44" i="6"/>
  <c r="GS44" i="6"/>
  <c r="GR44" i="6"/>
  <c r="GQ44" i="6"/>
  <c r="GP44" i="6"/>
  <c r="GO44" i="6"/>
  <c r="GN44" i="6"/>
  <c r="GM44" i="6"/>
  <c r="GL44" i="6"/>
  <c r="GK44" i="6"/>
  <c r="GJ44" i="6"/>
  <c r="GI44" i="6"/>
  <c r="FW43" i="6"/>
  <c r="FL43" i="6"/>
  <c r="FA43" i="6"/>
  <c r="EP43" i="6"/>
  <c r="EE43" i="6"/>
  <c r="DT43" i="6"/>
  <c r="DI43" i="6"/>
  <c r="CX43" i="6"/>
  <c r="CM43" i="6"/>
  <c r="CB43" i="6"/>
  <c r="BQ43" i="6"/>
  <c r="BF43" i="6"/>
  <c r="AU43" i="6"/>
  <c r="AJ43" i="6"/>
  <c r="Y43" i="6"/>
  <c r="N43" i="6"/>
  <c r="F43" i="6"/>
  <c r="FW42" i="6"/>
  <c r="FL42" i="6"/>
  <c r="FA42" i="6"/>
  <c r="EP42" i="6"/>
  <c r="EE42" i="6"/>
  <c r="DT42" i="6"/>
  <c r="DI42" i="6"/>
  <c r="CX42" i="6"/>
  <c r="CM42" i="6"/>
  <c r="CB42" i="6"/>
  <c r="BQ42" i="6"/>
  <c r="BF42" i="6"/>
  <c r="AU42" i="6"/>
  <c r="AJ42" i="6"/>
  <c r="Y42" i="6"/>
  <c r="N42" i="6"/>
  <c r="F42" i="6"/>
  <c r="GT41" i="6"/>
  <c r="GS41" i="6"/>
  <c r="GR41" i="6"/>
  <c r="GQ41" i="6"/>
  <c r="GP41" i="6"/>
  <c r="GO41" i="6"/>
  <c r="GN41" i="6"/>
  <c r="GM41" i="6"/>
  <c r="GL41" i="6"/>
  <c r="GK41" i="6"/>
  <c r="GJ41" i="6"/>
  <c r="GI41" i="6"/>
  <c r="FW40" i="6"/>
  <c r="FL40" i="6"/>
  <c r="FA40" i="6"/>
  <c r="EP40" i="6"/>
  <c r="EE40" i="6"/>
  <c r="DT40" i="6"/>
  <c r="DI40" i="6"/>
  <c r="CX40" i="6"/>
  <c r="CM40" i="6"/>
  <c r="CB40" i="6"/>
  <c r="BQ40" i="6"/>
  <c r="BF40" i="6"/>
  <c r="AU40" i="6"/>
  <c r="AJ40" i="6"/>
  <c r="Y40" i="6"/>
  <c r="N40" i="6"/>
  <c r="F40" i="6"/>
  <c r="FW39" i="6"/>
  <c r="FL39" i="6"/>
  <c r="FA39" i="6"/>
  <c r="EP39" i="6"/>
  <c r="EE39" i="6"/>
  <c r="DT39" i="6"/>
  <c r="DI39" i="6"/>
  <c r="CX39" i="6"/>
  <c r="CM39" i="6"/>
  <c r="CB39" i="6"/>
  <c r="BQ39" i="6"/>
  <c r="BF39" i="6"/>
  <c r="AU39" i="6"/>
  <c r="AJ39" i="6"/>
  <c r="Y39" i="6"/>
  <c r="N39" i="6"/>
  <c r="F39" i="6"/>
  <c r="FW38" i="6"/>
  <c r="FL38" i="6"/>
  <c r="FA38" i="6"/>
  <c r="EP38" i="6"/>
  <c r="EE38" i="6"/>
  <c r="DT38" i="6"/>
  <c r="DI38" i="6"/>
  <c r="CX38" i="6"/>
  <c r="CM38" i="6"/>
  <c r="CB38" i="6"/>
  <c r="BQ38" i="6"/>
  <c r="BF38" i="6"/>
  <c r="AU38" i="6"/>
  <c r="AJ38" i="6"/>
  <c r="Y38" i="6"/>
  <c r="N38" i="6"/>
  <c r="F38" i="6"/>
  <c r="FW37" i="6"/>
  <c r="FL37" i="6"/>
  <c r="FA37" i="6"/>
  <c r="EP37" i="6"/>
  <c r="EE37" i="6"/>
  <c r="DT37" i="6"/>
  <c r="DI37" i="6"/>
  <c r="CX37" i="6"/>
  <c r="CM37" i="6"/>
  <c r="CB37" i="6"/>
  <c r="BQ37" i="6"/>
  <c r="BF37" i="6"/>
  <c r="AU37" i="6"/>
  <c r="AJ37" i="6"/>
  <c r="Y37" i="6"/>
  <c r="N37" i="6"/>
  <c r="F37" i="6"/>
  <c r="GT36" i="6"/>
  <c r="GS36" i="6"/>
  <c r="GR36" i="6"/>
  <c r="GQ36" i="6"/>
  <c r="GP36" i="6"/>
  <c r="GO36" i="6"/>
  <c r="GN36" i="6"/>
  <c r="GM36" i="6"/>
  <c r="GL36" i="6"/>
  <c r="GK36" i="6"/>
  <c r="GJ36" i="6"/>
  <c r="GI36" i="6"/>
  <c r="FW33" i="6"/>
  <c r="FL33" i="6"/>
  <c r="FA33" i="6"/>
  <c r="EP33" i="6"/>
  <c r="EE33" i="6"/>
  <c r="DT33" i="6"/>
  <c r="DI33" i="6"/>
  <c r="CX33" i="6"/>
  <c r="CM33" i="6"/>
  <c r="CB33" i="6"/>
  <c r="BQ33" i="6"/>
  <c r="BF33" i="6"/>
  <c r="AU33" i="6"/>
  <c r="AJ33" i="6"/>
  <c r="Y33" i="6"/>
  <c r="N33" i="6"/>
  <c r="F33" i="6"/>
  <c r="FW32" i="6"/>
  <c r="FL32" i="6"/>
  <c r="FA32" i="6"/>
  <c r="EP32" i="6"/>
  <c r="EE32" i="6"/>
  <c r="DT32" i="6"/>
  <c r="DI32" i="6"/>
  <c r="CX32" i="6"/>
  <c r="CM32" i="6"/>
  <c r="CB32" i="6"/>
  <c r="BQ32" i="6"/>
  <c r="BF32" i="6"/>
  <c r="AU32" i="6"/>
  <c r="AJ32" i="6"/>
  <c r="Y32" i="6"/>
  <c r="N32" i="6"/>
  <c r="F32" i="6"/>
  <c r="GT31" i="6"/>
  <c r="GS31" i="6"/>
  <c r="GR31" i="6"/>
  <c r="GQ31" i="6"/>
  <c r="GP31" i="6"/>
  <c r="GO31" i="6"/>
  <c r="GN31" i="6"/>
  <c r="GM31" i="6"/>
  <c r="GL31" i="6"/>
  <c r="GK31" i="6"/>
  <c r="GJ31" i="6"/>
  <c r="GI31" i="6"/>
  <c r="FW30" i="6"/>
  <c r="FL30" i="6"/>
  <c r="FA30" i="6"/>
  <c r="EP30" i="6"/>
  <c r="EE30" i="6"/>
  <c r="DT30" i="6"/>
  <c r="DI30" i="6"/>
  <c r="CX30" i="6"/>
  <c r="CM30" i="6"/>
  <c r="CB30" i="6"/>
  <c r="BQ30" i="6"/>
  <c r="BF30" i="6"/>
  <c r="AU30" i="6"/>
  <c r="AJ30" i="6"/>
  <c r="Y30" i="6"/>
  <c r="N30" i="6"/>
  <c r="F30" i="6"/>
  <c r="FW29" i="6"/>
  <c r="FL29" i="6"/>
  <c r="FA29" i="6"/>
  <c r="EP29" i="6"/>
  <c r="EE29" i="6"/>
  <c r="DT29" i="6"/>
  <c r="DI29" i="6"/>
  <c r="CX29" i="6"/>
  <c r="CM29" i="6"/>
  <c r="CB29" i="6"/>
  <c r="BQ29" i="6"/>
  <c r="BF29" i="6"/>
  <c r="AU29" i="6"/>
  <c r="AJ29" i="6"/>
  <c r="Y29" i="6"/>
  <c r="N29" i="6"/>
  <c r="F29" i="6"/>
  <c r="GT28" i="6"/>
  <c r="GS28" i="6"/>
  <c r="GR28" i="6"/>
  <c r="GQ28" i="6"/>
  <c r="GP28" i="6"/>
  <c r="GO28" i="6"/>
  <c r="GN28" i="6"/>
  <c r="GM28" i="6"/>
  <c r="GL28" i="6"/>
  <c r="GK28" i="6"/>
  <c r="GJ28" i="6"/>
  <c r="GI28" i="6"/>
  <c r="FW27" i="6"/>
  <c r="FL27" i="6"/>
  <c r="FA27" i="6"/>
  <c r="EP27" i="6"/>
  <c r="EE27" i="6"/>
  <c r="DT27" i="6"/>
  <c r="DI27" i="6"/>
  <c r="CX27" i="6"/>
  <c r="CM27" i="6"/>
  <c r="CB27" i="6"/>
  <c r="BQ27" i="6"/>
  <c r="BF27" i="6"/>
  <c r="AU27" i="6"/>
  <c r="AJ27" i="6"/>
  <c r="Y27" i="6"/>
  <c r="N27" i="6"/>
  <c r="F27" i="6"/>
  <c r="FW26" i="6"/>
  <c r="FL26" i="6"/>
  <c r="FA26" i="6"/>
  <c r="EP26" i="6"/>
  <c r="EE26" i="6"/>
  <c r="DT26" i="6"/>
  <c r="DI26" i="6"/>
  <c r="CX26" i="6"/>
  <c r="CM26" i="6"/>
  <c r="CB26" i="6"/>
  <c r="BQ26" i="6"/>
  <c r="BF26" i="6"/>
  <c r="AU26" i="6"/>
  <c r="AJ26" i="6"/>
  <c r="Y26" i="6"/>
  <c r="N26" i="6"/>
  <c r="F26" i="6"/>
  <c r="FW25" i="6"/>
  <c r="FL25" i="6"/>
  <c r="FA25" i="6"/>
  <c r="EP25" i="6"/>
  <c r="EE25" i="6"/>
  <c r="DT25" i="6"/>
  <c r="DI25" i="6"/>
  <c r="CX25" i="6"/>
  <c r="CM25" i="6"/>
  <c r="CB25" i="6"/>
  <c r="BQ25" i="6"/>
  <c r="BF25" i="6"/>
  <c r="AU25" i="6"/>
  <c r="AJ25" i="6"/>
  <c r="Y25" i="6"/>
  <c r="N25" i="6"/>
  <c r="F25" i="6"/>
  <c r="FW24" i="6"/>
  <c r="FL24" i="6"/>
  <c r="FA24" i="6"/>
  <c r="EP24" i="6"/>
  <c r="EE24" i="6"/>
  <c r="DT24" i="6"/>
  <c r="DI24" i="6"/>
  <c r="CX24" i="6"/>
  <c r="CM24" i="6"/>
  <c r="CB24" i="6"/>
  <c r="BQ24" i="6"/>
  <c r="BF24" i="6"/>
  <c r="AU24" i="6"/>
  <c r="AJ24" i="6"/>
  <c r="Y24" i="6"/>
  <c r="N24" i="6"/>
  <c r="F24" i="6"/>
  <c r="GT23" i="6"/>
  <c r="GS23" i="6"/>
  <c r="GR23" i="6"/>
  <c r="GQ23" i="6"/>
  <c r="GP23" i="6"/>
  <c r="GO23" i="6"/>
  <c r="GN23" i="6"/>
  <c r="GM23" i="6"/>
  <c r="GL23" i="6"/>
  <c r="GK23" i="6"/>
  <c r="GJ23" i="6"/>
  <c r="GI23" i="6"/>
  <c r="FW22" i="6"/>
  <c r="FL22" i="6"/>
  <c r="FA22" i="6"/>
  <c r="EP22" i="6"/>
  <c r="EE22" i="6"/>
  <c r="DT22" i="6"/>
  <c r="DI22" i="6"/>
  <c r="CX22" i="6"/>
  <c r="CM22" i="6"/>
  <c r="CB22" i="6"/>
  <c r="BQ22" i="6"/>
  <c r="BF22" i="6"/>
  <c r="AU22" i="6"/>
  <c r="AJ22" i="6"/>
  <c r="Y22" i="6"/>
  <c r="N22" i="6"/>
  <c r="F22" i="6"/>
  <c r="FW21" i="6"/>
  <c r="FL21" i="6"/>
  <c r="FA21" i="6"/>
  <c r="EP21" i="6"/>
  <c r="EE21" i="6"/>
  <c r="DT21" i="6"/>
  <c r="DI21" i="6"/>
  <c r="CX21" i="6"/>
  <c r="CM21" i="6"/>
  <c r="CB21" i="6"/>
  <c r="BQ21" i="6"/>
  <c r="BF21" i="6"/>
  <c r="AU21" i="6"/>
  <c r="AJ21" i="6"/>
  <c r="Y21" i="6"/>
  <c r="N21" i="6"/>
  <c r="F21" i="6"/>
  <c r="GT20" i="6"/>
  <c r="GS20" i="6"/>
  <c r="GR20" i="6"/>
  <c r="GQ20" i="6"/>
  <c r="GP20" i="6"/>
  <c r="GO20" i="6"/>
  <c r="GN20" i="6"/>
  <c r="GM20" i="6"/>
  <c r="GL20" i="6"/>
  <c r="GK20" i="6"/>
  <c r="GJ20" i="6"/>
  <c r="GI20" i="6"/>
  <c r="I26" i="26"/>
  <c r="K24" i="26"/>
  <c r="J24" i="26"/>
  <c r="J23" i="26"/>
  <c r="K23" i="26" s="1"/>
  <c r="I20" i="26"/>
  <c r="G12" i="22" s="1"/>
  <c r="G18" i="22" s="1"/>
  <c r="J18" i="26"/>
  <c r="K18" i="26" s="1"/>
  <c r="J17" i="26"/>
  <c r="K17" i="26" s="1"/>
  <c r="I13" i="26"/>
  <c r="J12" i="26"/>
  <c r="K12" i="26" s="1"/>
  <c r="K11" i="26"/>
  <c r="J11" i="26"/>
  <c r="J10" i="26"/>
  <c r="K10" i="26" s="1"/>
  <c r="I7" i="26"/>
  <c r="I12" i="22" s="1"/>
  <c r="I18" i="22" s="1"/>
  <c r="K6" i="26"/>
  <c r="J6" i="26"/>
  <c r="J5" i="26"/>
  <c r="K5" i="26" s="1"/>
  <c r="K4" i="26"/>
  <c r="J4" i="26"/>
  <c r="F29" i="22"/>
  <c r="C29" i="22"/>
  <c r="J24" i="22"/>
  <c r="I23" i="22"/>
  <c r="H23" i="22"/>
  <c r="G23" i="22"/>
  <c r="F23" i="22"/>
  <c r="E23" i="22"/>
  <c r="D23" i="22"/>
  <c r="C23" i="22"/>
  <c r="J18" i="22"/>
  <c r="C18" i="22"/>
  <c r="C19" i="22" s="1"/>
  <c r="F12" i="22"/>
  <c r="F18" i="22" s="1"/>
  <c r="E12" i="22"/>
  <c r="E18" i="22" s="1"/>
  <c r="D12" i="22"/>
  <c r="D18" i="22" s="1"/>
  <c r="C12" i="22"/>
  <c r="C25" i="22" l="1"/>
  <c r="D19" i="22"/>
  <c r="D35" i="22"/>
  <c r="D36" i="22" s="1"/>
  <c r="D37" i="22" s="1"/>
  <c r="D38" i="22" s="1"/>
  <c r="D30" i="22"/>
  <c r="I36" i="22"/>
  <c r="I37" i="22" s="1"/>
  <c r="I38" i="22" s="1"/>
  <c r="I35" i="22"/>
  <c r="I19" i="22"/>
  <c r="I30" i="22"/>
  <c r="I33" i="22" s="1"/>
  <c r="G36" i="22"/>
  <c r="G37" i="22" s="1"/>
  <c r="G38" i="22" s="1"/>
  <c r="G35" i="22"/>
  <c r="G30" i="22"/>
  <c r="G33" i="22" s="1"/>
  <c r="G19" i="22"/>
  <c r="G20" i="22" s="1"/>
  <c r="F36" i="22"/>
  <c r="F37" i="22" s="1"/>
  <c r="F38" i="22" s="1"/>
  <c r="F35" i="22"/>
  <c r="F30" i="22"/>
  <c r="F19" i="22"/>
  <c r="E30" i="22"/>
  <c r="E19" i="22"/>
  <c r="E35" i="22"/>
  <c r="E36" i="22" s="1"/>
  <c r="E37" i="22" s="1"/>
  <c r="E38" i="22" s="1"/>
  <c r="H12" i="22"/>
  <c r="H18" i="22" s="1"/>
  <c r="C30" i="22"/>
  <c r="C35" i="22"/>
  <c r="C36" i="22" s="1"/>
  <c r="C37" i="22" s="1"/>
  <c r="C38" i="22" s="1"/>
  <c r="J19" i="22"/>
  <c r="J25" i="22" s="1"/>
  <c r="J30" i="22"/>
  <c r="J33" i="22" s="1"/>
  <c r="J35" i="22"/>
  <c r="J36" i="22" s="1"/>
  <c r="J37" i="22" s="1"/>
  <c r="J38" i="22" s="1"/>
  <c r="ER24" i="24"/>
  <c r="ES24" i="24"/>
  <c r="D8" i="20"/>
  <c r="D12" i="20"/>
  <c r="D16" i="20"/>
  <c r="D9" i="20"/>
  <c r="D13" i="20"/>
  <c r="D10" i="20"/>
  <c r="D45" i="20"/>
  <c r="D41" i="20"/>
  <c r="D48" i="20"/>
  <c r="D44" i="20"/>
  <c r="D47" i="20"/>
  <c r="D43" i="20"/>
  <c r="D46" i="20"/>
  <c r="D38" i="20"/>
  <c r="D42" i="20"/>
  <c r="D40" i="20"/>
  <c r="D39" i="20"/>
  <c r="D37" i="20"/>
  <c r="D34" i="20"/>
  <c r="D20" i="20"/>
  <c r="D33" i="20"/>
  <c r="D19" i="20"/>
  <c r="D36" i="20"/>
  <c r="D22" i="20"/>
  <c r="D18" i="20"/>
  <c r="D35" i="20"/>
  <c r="D21" i="20"/>
  <c r="D17" i="20"/>
  <c r="D11" i="20"/>
  <c r="D15" i="20"/>
  <c r="J22" i="24" l="1"/>
  <c r="J21" i="24"/>
  <c r="J22" i="6"/>
  <c r="J21" i="6"/>
  <c r="I46" i="24"/>
  <c r="I45" i="24"/>
  <c r="I33" i="24"/>
  <c r="I32" i="24"/>
  <c r="I46" i="6"/>
  <c r="I45" i="6"/>
  <c r="I33" i="6"/>
  <c r="I32" i="6"/>
  <c r="E33" i="22"/>
  <c r="G32" i="22"/>
  <c r="I27" i="24"/>
  <c r="I26" i="24"/>
  <c r="I22" i="24"/>
  <c r="I21" i="24"/>
  <c r="I27" i="6"/>
  <c r="I26" i="6"/>
  <c r="I22" i="6"/>
  <c r="I21" i="6"/>
  <c r="I25" i="22"/>
  <c r="AS45" i="20"/>
  <c r="AS86" i="20" s="1"/>
  <c r="D25" i="22"/>
  <c r="I20" i="22"/>
  <c r="D33" i="22"/>
  <c r="I31" i="22"/>
  <c r="J20" i="22"/>
  <c r="J31" i="22"/>
  <c r="C33" i="22"/>
  <c r="G31" i="22"/>
  <c r="H21" i="22"/>
  <c r="F25" i="22"/>
  <c r="J21" i="22"/>
  <c r="I21" i="22"/>
  <c r="H19" i="22"/>
  <c r="H35" i="22"/>
  <c r="H36" i="22" s="1"/>
  <c r="H37" i="22" s="1"/>
  <c r="H38" i="22" s="1"/>
  <c r="H30" i="22"/>
  <c r="H33" i="22" s="1"/>
  <c r="G21" i="22"/>
  <c r="E25" i="22"/>
  <c r="F33" i="22"/>
  <c r="J32" i="22"/>
  <c r="I32" i="22"/>
  <c r="H32" i="22"/>
  <c r="G25" i="22"/>
  <c r="G26" i="22" s="1"/>
  <c r="I43" i="24"/>
  <c r="I42" i="24"/>
  <c r="I40" i="24"/>
  <c r="I39" i="24"/>
  <c r="I38" i="24"/>
  <c r="I37" i="24"/>
  <c r="I43" i="6"/>
  <c r="I42" i="6"/>
  <c r="I40" i="6"/>
  <c r="I39" i="6"/>
  <c r="I38" i="6"/>
  <c r="I37" i="6"/>
  <c r="J26" i="22"/>
  <c r="K22" i="24" l="1"/>
  <c r="K21" i="24"/>
  <c r="K22" i="6"/>
  <c r="K21" i="6"/>
  <c r="FP37" i="24"/>
  <c r="DX37" i="24"/>
  <c r="CF37" i="24"/>
  <c r="AN37" i="24"/>
  <c r="ET37" i="24"/>
  <c r="FE37" i="24"/>
  <c r="DM37" i="24"/>
  <c r="CQ37" i="24"/>
  <c r="BU37" i="24"/>
  <c r="BJ37" i="24"/>
  <c r="AY37" i="24"/>
  <c r="GA37" i="24"/>
  <c r="EI37" i="24"/>
  <c r="AC37" i="24"/>
  <c r="R37" i="24"/>
  <c r="DB37" i="24"/>
  <c r="FP42" i="24"/>
  <c r="DX42" i="24"/>
  <c r="CF42" i="24"/>
  <c r="AN42" i="24"/>
  <c r="GA42" i="24"/>
  <c r="EI42" i="24"/>
  <c r="CQ42" i="24"/>
  <c r="AY42" i="24"/>
  <c r="ET42" i="24"/>
  <c r="DB42" i="24"/>
  <c r="BJ42" i="24"/>
  <c r="R42" i="24"/>
  <c r="FE42" i="24"/>
  <c r="DM42" i="24"/>
  <c r="BU42" i="24"/>
  <c r="AC42" i="24"/>
  <c r="J27" i="24"/>
  <c r="J26" i="24"/>
  <c r="J27" i="6"/>
  <c r="J26" i="6"/>
  <c r="H25" i="22"/>
  <c r="J46" i="24"/>
  <c r="J45" i="24"/>
  <c r="J46" i="6"/>
  <c r="J45" i="6"/>
  <c r="G33" i="24"/>
  <c r="H33" i="24" s="1"/>
  <c r="G32" i="24"/>
  <c r="H32" i="24" s="1"/>
  <c r="L32" i="24" s="1"/>
  <c r="M32" i="24" s="1"/>
  <c r="G22" i="24"/>
  <c r="G21" i="24"/>
  <c r="G33" i="6"/>
  <c r="G32" i="6"/>
  <c r="G22" i="6"/>
  <c r="G21" i="6"/>
  <c r="H31" i="22"/>
  <c r="H26" i="22"/>
  <c r="I26" i="22"/>
  <c r="FP26" i="24"/>
  <c r="DX26" i="24"/>
  <c r="CF26" i="24"/>
  <c r="AN26" i="24"/>
  <c r="GA26" i="24"/>
  <c r="EI26" i="24"/>
  <c r="CQ26" i="24"/>
  <c r="AY26" i="24"/>
  <c r="ET26" i="24"/>
  <c r="DB26" i="24"/>
  <c r="BJ26" i="24"/>
  <c r="R26" i="24"/>
  <c r="FE26" i="24"/>
  <c r="DM26" i="24"/>
  <c r="BU26" i="24"/>
  <c r="AC26" i="24"/>
  <c r="FP32" i="24"/>
  <c r="DX32" i="24"/>
  <c r="CF32" i="24"/>
  <c r="AN32" i="24"/>
  <c r="GA32" i="24"/>
  <c r="EI32" i="24"/>
  <c r="CQ32" i="24"/>
  <c r="AY32" i="24"/>
  <c r="ET32" i="24"/>
  <c r="DB32" i="24"/>
  <c r="BJ32" i="24"/>
  <c r="R32" i="24"/>
  <c r="FE32" i="24"/>
  <c r="DM32" i="24"/>
  <c r="BU32" i="24"/>
  <c r="AC32" i="24"/>
  <c r="K33" i="24"/>
  <c r="K32" i="24"/>
  <c r="K33" i="6"/>
  <c r="K32" i="6"/>
  <c r="FP38" i="24"/>
  <c r="BD47" i="20" s="1"/>
  <c r="BD88" i="20" s="1"/>
  <c r="DX38" i="24"/>
  <c r="CF38" i="24"/>
  <c r="AN38" i="24"/>
  <c r="ET38" i="24"/>
  <c r="DB38" i="24"/>
  <c r="BJ38" i="24"/>
  <c r="R38" i="24"/>
  <c r="BD33" i="20" s="1"/>
  <c r="BD74" i="20" s="1"/>
  <c r="FE38" i="24"/>
  <c r="DM38" i="24"/>
  <c r="BU38" i="24"/>
  <c r="AC38" i="24"/>
  <c r="BD34" i="20" s="1"/>
  <c r="BD75" i="20" s="1"/>
  <c r="GA38" i="24"/>
  <c r="BD48" i="20" s="1"/>
  <c r="BD89" i="20" s="1"/>
  <c r="EI38" i="24"/>
  <c r="BD44" i="20" s="1"/>
  <c r="BD85" i="20" s="1"/>
  <c r="CQ38" i="24"/>
  <c r="AY38" i="24"/>
  <c r="BD36" i="20" s="1"/>
  <c r="BD77" i="20" s="1"/>
  <c r="FP43" i="24"/>
  <c r="DX43" i="24"/>
  <c r="CF43" i="24"/>
  <c r="AN43" i="24"/>
  <c r="GA43" i="24"/>
  <c r="EI43" i="24"/>
  <c r="CQ43" i="24"/>
  <c r="AY43" i="24"/>
  <c r="ET43" i="24"/>
  <c r="DB43" i="24"/>
  <c r="BJ43" i="24"/>
  <c r="R43" i="24"/>
  <c r="FE43" i="24"/>
  <c r="DM43" i="24"/>
  <c r="BU43" i="24"/>
  <c r="AC43" i="24"/>
  <c r="I30" i="24"/>
  <c r="I29" i="24"/>
  <c r="I25" i="24"/>
  <c r="I24" i="24"/>
  <c r="I30" i="6"/>
  <c r="I29" i="6"/>
  <c r="I25" i="6"/>
  <c r="I24" i="6"/>
  <c r="H27" i="22"/>
  <c r="J27" i="22"/>
  <c r="I27" i="22"/>
  <c r="G37" i="24"/>
  <c r="G38" i="24"/>
  <c r="G24" i="24"/>
  <c r="G25" i="24"/>
  <c r="G38" i="6"/>
  <c r="G37" i="6"/>
  <c r="G25" i="6"/>
  <c r="G24" i="6"/>
  <c r="FP27" i="24"/>
  <c r="DX27" i="24"/>
  <c r="CF27" i="24"/>
  <c r="AN27" i="24"/>
  <c r="GA27" i="24"/>
  <c r="EI27" i="24"/>
  <c r="CQ27" i="24"/>
  <c r="AY27" i="24"/>
  <c r="ET27" i="24"/>
  <c r="DB27" i="24"/>
  <c r="BJ27" i="24"/>
  <c r="R27" i="24"/>
  <c r="FE27" i="24"/>
  <c r="DM27" i="24"/>
  <c r="BU27" i="24"/>
  <c r="AC27" i="24"/>
  <c r="FP33" i="24"/>
  <c r="FT33" i="24" s="1"/>
  <c r="DX33" i="24"/>
  <c r="EB33" i="24" s="1"/>
  <c r="GA33" i="24"/>
  <c r="DM33" i="24"/>
  <c r="CF33" i="24"/>
  <c r="CJ33" i="24" s="1"/>
  <c r="AN33" i="24"/>
  <c r="AR33" i="24" s="1"/>
  <c r="L33" i="24"/>
  <c r="M33" i="24" s="1"/>
  <c r="CQ33" i="24"/>
  <c r="AY33" i="24"/>
  <c r="BC33" i="24" s="1"/>
  <c r="FE33" i="24"/>
  <c r="FI33" i="24" s="1"/>
  <c r="ET33" i="24"/>
  <c r="EX33" i="24" s="1"/>
  <c r="EI33" i="24"/>
  <c r="DB33" i="24"/>
  <c r="DF33" i="24" s="1"/>
  <c r="BJ33" i="24"/>
  <c r="BN33" i="24" s="1"/>
  <c r="R33" i="24"/>
  <c r="V33" i="24" s="1"/>
  <c r="BU33" i="24"/>
  <c r="BY33" i="24" s="1"/>
  <c r="AC33" i="24"/>
  <c r="AG33" i="24" s="1"/>
  <c r="FP39" i="24"/>
  <c r="DX39" i="24"/>
  <c r="CF39" i="24"/>
  <c r="AN39" i="24"/>
  <c r="GA39" i="24"/>
  <c r="EI39" i="24"/>
  <c r="CQ39" i="24"/>
  <c r="AY39" i="24"/>
  <c r="ET39" i="24"/>
  <c r="DB39" i="24"/>
  <c r="BJ39" i="24"/>
  <c r="R39" i="24"/>
  <c r="FE39" i="24"/>
  <c r="DM39" i="24"/>
  <c r="BU39" i="24"/>
  <c r="AC39" i="24"/>
  <c r="G46" i="24"/>
  <c r="H46" i="24" s="1"/>
  <c r="G45" i="24"/>
  <c r="H45" i="24" s="1"/>
  <c r="L45" i="24" s="1"/>
  <c r="M45" i="24" s="1"/>
  <c r="G43" i="24"/>
  <c r="H43" i="24" s="1"/>
  <c r="L43" i="24" s="1"/>
  <c r="M43" i="24" s="1"/>
  <c r="G42" i="24"/>
  <c r="H42" i="24" s="1"/>
  <c r="L42" i="24" s="1"/>
  <c r="M42" i="24" s="1"/>
  <c r="G40" i="24"/>
  <c r="G39" i="24"/>
  <c r="G30" i="24"/>
  <c r="G29" i="24"/>
  <c r="G46" i="6"/>
  <c r="G45" i="6"/>
  <c r="G43" i="6"/>
  <c r="G42" i="6"/>
  <c r="G40" i="6"/>
  <c r="G39" i="6"/>
  <c r="G30" i="6"/>
  <c r="G29" i="6"/>
  <c r="J30" i="24"/>
  <c r="J29" i="24"/>
  <c r="J30" i="6"/>
  <c r="J29" i="6"/>
  <c r="J33" i="24"/>
  <c r="J32" i="24"/>
  <c r="J33" i="6"/>
  <c r="J32" i="6"/>
  <c r="J38" i="24"/>
  <c r="J37" i="24"/>
  <c r="J38" i="6"/>
  <c r="J37" i="6"/>
  <c r="FE21" i="24"/>
  <c r="DM21" i="24"/>
  <c r="BU21" i="24"/>
  <c r="AC21" i="24"/>
  <c r="FP21" i="24"/>
  <c r="DX21" i="24"/>
  <c r="CF21" i="24"/>
  <c r="AN21" i="24"/>
  <c r="GA21" i="24"/>
  <c r="EI21" i="24"/>
  <c r="CQ21" i="24"/>
  <c r="AY21" i="24"/>
  <c r="ET21" i="24"/>
  <c r="DB21" i="24"/>
  <c r="BJ21" i="24"/>
  <c r="R21" i="24"/>
  <c r="FP45" i="24"/>
  <c r="DX45" i="24"/>
  <c r="CF45" i="24"/>
  <c r="AN45" i="24"/>
  <c r="GA45" i="24"/>
  <c r="EI45" i="24"/>
  <c r="CQ45" i="24"/>
  <c r="AY45" i="24"/>
  <c r="ET45" i="24"/>
  <c r="DB45" i="24"/>
  <c r="BJ45" i="24"/>
  <c r="R45" i="24"/>
  <c r="FE45" i="24"/>
  <c r="DM45" i="24"/>
  <c r="BU45" i="24"/>
  <c r="AC45" i="24"/>
  <c r="FP40" i="24"/>
  <c r="DX40" i="24"/>
  <c r="CF40" i="24"/>
  <c r="AN40" i="24"/>
  <c r="GA40" i="24"/>
  <c r="EI40" i="24"/>
  <c r="CQ40" i="24"/>
  <c r="AY40" i="24"/>
  <c r="ET40" i="24"/>
  <c r="DB40" i="24"/>
  <c r="BJ40" i="24"/>
  <c r="R40" i="24"/>
  <c r="FE40" i="24"/>
  <c r="DM40" i="24"/>
  <c r="BU40" i="24"/>
  <c r="AC40" i="24"/>
  <c r="G27" i="22"/>
  <c r="J43" i="24"/>
  <c r="J42" i="24"/>
  <c r="J40" i="24"/>
  <c r="J39" i="24"/>
  <c r="J43" i="6"/>
  <c r="J42" i="6"/>
  <c r="J40" i="6"/>
  <c r="J39" i="6"/>
  <c r="H20" i="22"/>
  <c r="FP22" i="24"/>
  <c r="DM22" i="24"/>
  <c r="BU22" i="24"/>
  <c r="AC22" i="24"/>
  <c r="FE22" i="24"/>
  <c r="ET22" i="24"/>
  <c r="DX22" i="24"/>
  <c r="CF22" i="24"/>
  <c r="AN22" i="24"/>
  <c r="EI22" i="24"/>
  <c r="CQ22" i="24"/>
  <c r="AY22" i="24"/>
  <c r="GA22" i="24"/>
  <c r="DB22" i="24"/>
  <c r="BJ22" i="24"/>
  <c r="R22" i="24"/>
  <c r="G27" i="24"/>
  <c r="G26" i="24"/>
  <c r="G27" i="6"/>
  <c r="G26" i="6"/>
  <c r="FP46" i="24"/>
  <c r="DX46" i="24"/>
  <c r="CF46" i="24"/>
  <c r="AN46" i="24"/>
  <c r="L46" i="24"/>
  <c r="M46" i="24" s="1"/>
  <c r="EI46" i="24"/>
  <c r="CQ46" i="24"/>
  <c r="AY46" i="24"/>
  <c r="GA46" i="24"/>
  <c r="GE46" i="24" s="1"/>
  <c r="ET46" i="24"/>
  <c r="DB46" i="24"/>
  <c r="BJ46" i="24"/>
  <c r="R46" i="24"/>
  <c r="V46" i="24" s="1"/>
  <c r="FE46" i="24"/>
  <c r="FI46" i="24" s="1"/>
  <c r="DM46" i="24"/>
  <c r="BU46" i="24"/>
  <c r="AC46" i="24"/>
  <c r="AG46" i="24" s="1"/>
  <c r="BY46" i="24" l="1"/>
  <c r="BN46" i="24"/>
  <c r="BC46" i="24"/>
  <c r="AR46" i="24"/>
  <c r="ER27" i="24"/>
  <c r="CZ27" i="24"/>
  <c r="BH27" i="24"/>
  <c r="P27" i="24"/>
  <c r="H27" i="24"/>
  <c r="L27" i="24" s="1"/>
  <c r="M27" i="24" s="1"/>
  <c r="FC27" i="24"/>
  <c r="DK27" i="24"/>
  <c r="BS27" i="24"/>
  <c r="AA27" i="24"/>
  <c r="FN27" i="24"/>
  <c r="DV27" i="24"/>
  <c r="CD27" i="24"/>
  <c r="AL27" i="24"/>
  <c r="FY27" i="24"/>
  <c r="EG27" i="24"/>
  <c r="CO27" i="24"/>
  <c r="AW27" i="24"/>
  <c r="AR48" i="20"/>
  <c r="AR89" i="20" s="1"/>
  <c r="AR45" i="20"/>
  <c r="AR86" i="20" s="1"/>
  <c r="AR42" i="20"/>
  <c r="AR83" i="20" s="1"/>
  <c r="K27" i="24"/>
  <c r="K26" i="24"/>
  <c r="K27" i="6"/>
  <c r="K26" i="6"/>
  <c r="AG45" i="24"/>
  <c r="V45" i="24"/>
  <c r="BC45" i="24"/>
  <c r="FT45" i="24"/>
  <c r="AP41" i="20"/>
  <c r="AP82" i="20" s="1"/>
  <c r="G12" i="27" s="1"/>
  <c r="AP44" i="20"/>
  <c r="AP85" i="20" s="1"/>
  <c r="G15" i="27" s="1"/>
  <c r="AP39" i="20"/>
  <c r="AP80" i="20" s="1"/>
  <c r="G10" i="27" s="1"/>
  <c r="AP38" i="20"/>
  <c r="AP79" i="20" s="1"/>
  <c r="G9" i="27" s="1"/>
  <c r="DK29" i="6"/>
  <c r="FB29" i="6"/>
  <c r="FD29" i="6" s="1"/>
  <c r="DJ29" i="6"/>
  <c r="DL29" i="6" s="1"/>
  <c r="BR29" i="6"/>
  <c r="BT29" i="6" s="1"/>
  <c r="Z29" i="6"/>
  <c r="AB29" i="6" s="1"/>
  <c r="FM29" i="6"/>
  <c r="FO29" i="6" s="1"/>
  <c r="DU29" i="6"/>
  <c r="DW29" i="6" s="1"/>
  <c r="CC29" i="6"/>
  <c r="CE29" i="6" s="1"/>
  <c r="AK29" i="6"/>
  <c r="AM29" i="6" s="1"/>
  <c r="CZ29" i="6"/>
  <c r="H29" i="6"/>
  <c r="BG29" i="6"/>
  <c r="BI29" i="6" s="1"/>
  <c r="EF29" i="6"/>
  <c r="EH29" i="6" s="1"/>
  <c r="CY29" i="6"/>
  <c r="DA29" i="6" s="1"/>
  <c r="FX29" i="6"/>
  <c r="FZ29" i="6" s="1"/>
  <c r="EQ29" i="6"/>
  <c r="ES29" i="6" s="1"/>
  <c r="AV29" i="6"/>
  <c r="AX29" i="6" s="1"/>
  <c r="O29" i="6"/>
  <c r="Q29" i="6" s="1"/>
  <c r="CN29" i="6"/>
  <c r="CP29" i="6" s="1"/>
  <c r="H42" i="6"/>
  <c r="L42" i="6" s="1"/>
  <c r="M42" i="6" s="1"/>
  <c r="FM42" i="6"/>
  <c r="FO42" i="6" s="1"/>
  <c r="FP42" i="6" s="1"/>
  <c r="FT42" i="6" s="1"/>
  <c r="CC42" i="6"/>
  <c r="CE42" i="6" s="1"/>
  <c r="CF42" i="6" s="1"/>
  <c r="CJ42" i="6" s="1"/>
  <c r="ER29" i="24"/>
  <c r="CZ29" i="24"/>
  <c r="BH29" i="24"/>
  <c r="P29" i="24"/>
  <c r="H29" i="24"/>
  <c r="FC29" i="24"/>
  <c r="DK29" i="24"/>
  <c r="BS29" i="24"/>
  <c r="AA29" i="24"/>
  <c r="FN29" i="24"/>
  <c r="DV29" i="24"/>
  <c r="CD29" i="24"/>
  <c r="AL29" i="24"/>
  <c r="FY29" i="24"/>
  <c r="EG29" i="24"/>
  <c r="CO29" i="24"/>
  <c r="AW29" i="24"/>
  <c r="BJ34" i="20"/>
  <c r="BJ75" i="20" s="1"/>
  <c r="G53" i="27" s="1"/>
  <c r="BJ33" i="20"/>
  <c r="BJ74" i="20" s="1"/>
  <c r="G52" i="27" s="1"/>
  <c r="BJ36" i="20"/>
  <c r="BJ77" i="20" s="1"/>
  <c r="G55" i="27" s="1"/>
  <c r="BJ47" i="20"/>
  <c r="BJ88" i="20" s="1"/>
  <c r="G66" i="27" s="1"/>
  <c r="EM33" i="24"/>
  <c r="CU33" i="24"/>
  <c r="DQ33" i="24"/>
  <c r="FI27" i="24"/>
  <c r="BH46" i="20"/>
  <c r="BH87" i="20" s="1"/>
  <c r="AZ46" i="20"/>
  <c r="AZ87" i="20" s="1"/>
  <c r="EX27" i="24"/>
  <c r="BH45" i="20"/>
  <c r="BH86" i="20" s="1"/>
  <c r="AZ45" i="20"/>
  <c r="AZ86" i="20" s="1"/>
  <c r="GE27" i="24"/>
  <c r="AZ48" i="20"/>
  <c r="AZ89" i="20" s="1"/>
  <c r="BH48" i="20"/>
  <c r="BH89" i="20" s="1"/>
  <c r="EB27" i="24"/>
  <c r="BH43" i="20"/>
  <c r="BH84" i="20" s="1"/>
  <c r="AZ43" i="20"/>
  <c r="AZ84" i="20" s="1"/>
  <c r="FY25" i="6"/>
  <c r="FM25" i="6"/>
  <c r="FO25" i="6" s="1"/>
  <c r="FX25" i="6"/>
  <c r="FZ25" i="6" s="1"/>
  <c r="EF25" i="6"/>
  <c r="EH25" i="6" s="1"/>
  <c r="CN25" i="6"/>
  <c r="CP25" i="6" s="1"/>
  <c r="FN25" i="6"/>
  <c r="FB25" i="6"/>
  <c r="FD25" i="6" s="1"/>
  <c r="CC25" i="6"/>
  <c r="CE25" i="6" s="1"/>
  <c r="BR25" i="6"/>
  <c r="BT25" i="6" s="1"/>
  <c r="Z25" i="6"/>
  <c r="AB25" i="6" s="1"/>
  <c r="AW25" i="6"/>
  <c r="CZ25" i="6"/>
  <c r="H25" i="6"/>
  <c r="DJ25" i="6" s="1"/>
  <c r="EQ25" i="6"/>
  <c r="ES25" i="6" s="1"/>
  <c r="AV25" i="6"/>
  <c r="AX25" i="6" s="1"/>
  <c r="AK25" i="6"/>
  <c r="AM25" i="6" s="1"/>
  <c r="CY25" i="6"/>
  <c r="DA25" i="6" s="1"/>
  <c r="O25" i="6"/>
  <c r="Q25" i="6" s="1"/>
  <c r="BG25" i="6"/>
  <c r="BI25" i="6" s="1"/>
  <c r="CZ24" i="24"/>
  <c r="BH24" i="24"/>
  <c r="P24" i="24"/>
  <c r="H24" i="24"/>
  <c r="FN24" i="24"/>
  <c r="FY24" i="24"/>
  <c r="EG24" i="24"/>
  <c r="CO24" i="24"/>
  <c r="CD24" i="24"/>
  <c r="FC24" i="24"/>
  <c r="AW24" i="24"/>
  <c r="AL24" i="24"/>
  <c r="DK24" i="24"/>
  <c r="AA24" i="24"/>
  <c r="DV24" i="24"/>
  <c r="BS24" i="24"/>
  <c r="K46" i="24"/>
  <c r="K45" i="24"/>
  <c r="K46" i="6"/>
  <c r="K45" i="6"/>
  <c r="GA29" i="6"/>
  <c r="EI29" i="6"/>
  <c r="CQ29" i="6"/>
  <c r="AY29" i="6"/>
  <c r="ET29" i="6"/>
  <c r="DB29" i="6"/>
  <c r="BJ29" i="6"/>
  <c r="R29" i="6"/>
  <c r="FE29" i="6"/>
  <c r="DM29" i="6"/>
  <c r="BU29" i="6"/>
  <c r="AC29" i="6"/>
  <c r="FP29" i="6"/>
  <c r="DX29" i="6"/>
  <c r="CF29" i="6"/>
  <c r="AN29" i="6"/>
  <c r="L29" i="6"/>
  <c r="M29" i="6" s="1"/>
  <c r="FP29" i="24"/>
  <c r="DX29" i="24"/>
  <c r="CF29" i="24"/>
  <c r="AN29" i="24"/>
  <c r="L29" i="24"/>
  <c r="M29" i="24" s="1"/>
  <c r="GA29" i="24"/>
  <c r="EI29" i="24"/>
  <c r="CQ29" i="24"/>
  <c r="AY29" i="24"/>
  <c r="ET29" i="24"/>
  <c r="DB29" i="24"/>
  <c r="BJ29" i="24"/>
  <c r="R29" i="24"/>
  <c r="FE29" i="24"/>
  <c r="DM29" i="24"/>
  <c r="BU29" i="24"/>
  <c r="AC29" i="24"/>
  <c r="DQ43" i="24"/>
  <c r="DF43" i="24"/>
  <c r="EM43" i="24"/>
  <c r="CJ43" i="24"/>
  <c r="BL40" i="20"/>
  <c r="BL38" i="20"/>
  <c r="BL37" i="20"/>
  <c r="BL35" i="20"/>
  <c r="FI32" i="24"/>
  <c r="EX32" i="24"/>
  <c r="GE32" i="24"/>
  <c r="EB32" i="24"/>
  <c r="AX38" i="20"/>
  <c r="AX79" i="20" s="1"/>
  <c r="G25" i="27" s="1"/>
  <c r="AX37" i="20"/>
  <c r="AX78" i="20" s="1"/>
  <c r="G24" i="27" s="1"/>
  <c r="AX40" i="20"/>
  <c r="AX81" i="20" s="1"/>
  <c r="G27" i="27" s="1"/>
  <c r="AX35" i="20"/>
  <c r="AX76" i="20" s="1"/>
  <c r="G22" i="27" s="1"/>
  <c r="FN42" i="6"/>
  <c r="CD42" i="6"/>
  <c r="H21" i="6"/>
  <c r="L21" i="6" s="1"/>
  <c r="M21" i="6" s="1"/>
  <c r="EQ21" i="6"/>
  <c r="ES21" i="6" s="1"/>
  <c r="ET21" i="6" s="1"/>
  <c r="CN21" i="6"/>
  <c r="CP21" i="6" s="1"/>
  <c r="CQ21" i="6" s="1"/>
  <c r="ER45" i="24"/>
  <c r="CZ45" i="24"/>
  <c r="BH45" i="24"/>
  <c r="P45" i="24"/>
  <c r="ER42" i="24"/>
  <c r="CZ42" i="24"/>
  <c r="BH42" i="24"/>
  <c r="P42" i="24"/>
  <c r="FC45" i="24"/>
  <c r="DK45" i="24"/>
  <c r="BS45" i="24"/>
  <c r="AA45" i="24"/>
  <c r="FC42" i="24"/>
  <c r="DK42" i="24"/>
  <c r="BS42" i="24"/>
  <c r="AA42" i="24"/>
  <c r="FN45" i="24"/>
  <c r="DV45" i="24"/>
  <c r="CD45" i="24"/>
  <c r="AL45" i="24"/>
  <c r="FN42" i="24"/>
  <c r="DV42" i="24"/>
  <c r="CD42" i="24"/>
  <c r="AL42" i="24"/>
  <c r="FY45" i="24"/>
  <c r="EG45" i="24"/>
  <c r="CO45" i="24"/>
  <c r="AW45" i="24"/>
  <c r="FY42" i="24"/>
  <c r="EG42" i="24"/>
  <c r="CO42" i="24"/>
  <c r="AW42" i="24"/>
  <c r="ER32" i="24"/>
  <c r="CZ32" i="24"/>
  <c r="BH32" i="24"/>
  <c r="P32" i="24"/>
  <c r="FC32" i="24"/>
  <c r="DK32" i="24"/>
  <c r="BS32" i="24"/>
  <c r="AA32" i="24"/>
  <c r="FN32" i="24"/>
  <c r="DV32" i="24"/>
  <c r="CD32" i="24"/>
  <c r="AL32" i="24"/>
  <c r="FY32" i="24"/>
  <c r="EG32" i="24"/>
  <c r="CO32" i="24"/>
  <c r="AW32" i="24"/>
  <c r="FY21" i="24"/>
  <c r="EG21" i="24"/>
  <c r="CO21" i="24"/>
  <c r="AW21" i="24"/>
  <c r="ER21" i="24"/>
  <c r="CZ21" i="24"/>
  <c r="BH21" i="24"/>
  <c r="P21" i="24"/>
  <c r="H21" i="24"/>
  <c r="L21" i="24" s="1"/>
  <c r="M21" i="24" s="1"/>
  <c r="EM21" i="24" s="1"/>
  <c r="FC21" i="24"/>
  <c r="DK21" i="24"/>
  <c r="BS21" i="24"/>
  <c r="AA21" i="24"/>
  <c r="FN21" i="24"/>
  <c r="DV21" i="24"/>
  <c r="CD21" i="24"/>
  <c r="AL21" i="24"/>
  <c r="BD35" i="20"/>
  <c r="BD76" i="20" s="1"/>
  <c r="BD40" i="20"/>
  <c r="BD81" i="20" s="1"/>
  <c r="FI42" i="24"/>
  <c r="EX42" i="24"/>
  <c r="GE42" i="24"/>
  <c r="EB42" i="24"/>
  <c r="BF34" i="20"/>
  <c r="BF75" i="20" s="1"/>
  <c r="G37" i="27" s="1"/>
  <c r="BF37" i="20"/>
  <c r="BF78" i="20" s="1"/>
  <c r="G40" i="27" s="1"/>
  <c r="BF46" i="20"/>
  <c r="BF87" i="20" s="1"/>
  <c r="G49" i="27" s="1"/>
  <c r="BF39" i="20"/>
  <c r="BF80" i="20" s="1"/>
  <c r="G42" i="27" s="1"/>
  <c r="DQ46" i="24"/>
  <c r="DF46" i="24"/>
  <c r="CU46" i="24"/>
  <c r="CJ46" i="24"/>
  <c r="H26" i="6"/>
  <c r="L26" i="6" s="1"/>
  <c r="M26" i="6" s="1"/>
  <c r="Z26" i="6"/>
  <c r="AB26" i="6" s="1"/>
  <c r="AC26" i="6" s="1"/>
  <c r="BG26" i="6"/>
  <c r="BI26" i="6" s="1"/>
  <c r="BJ26" i="6" s="1"/>
  <c r="AR33" i="20"/>
  <c r="AR74" i="20" s="1"/>
  <c r="AR36" i="20"/>
  <c r="AR77" i="20" s="1"/>
  <c r="AR35" i="20"/>
  <c r="AR76" i="20" s="1"/>
  <c r="AR46" i="20"/>
  <c r="AR87" i="20" s="1"/>
  <c r="AR47" i="20"/>
  <c r="AR88" i="20" s="1"/>
  <c r="BY45" i="24"/>
  <c r="BN45" i="24"/>
  <c r="CU45" i="24"/>
  <c r="AR45" i="24"/>
  <c r="EX21" i="24"/>
  <c r="AP45" i="20"/>
  <c r="AP86" i="20" s="1"/>
  <c r="G16" i="27" s="1"/>
  <c r="AP48" i="20"/>
  <c r="AP89" i="20" s="1"/>
  <c r="G19" i="27" s="1"/>
  <c r="EB21" i="24"/>
  <c r="AP43" i="20"/>
  <c r="AP84" i="20" s="1"/>
  <c r="G14" i="27" s="1"/>
  <c r="AP42" i="20"/>
  <c r="AP83" i="20" s="1"/>
  <c r="G13" i="27" s="1"/>
  <c r="DJ30" i="6"/>
  <c r="DL30" i="6" s="1"/>
  <c r="Z30" i="6"/>
  <c r="AB30" i="6" s="1"/>
  <c r="AC30" i="6" s="1"/>
  <c r="DU30" i="6"/>
  <c r="DW30" i="6" s="1"/>
  <c r="AK30" i="6"/>
  <c r="AM30" i="6" s="1"/>
  <c r="AN30" i="6" s="1"/>
  <c r="P30" i="6"/>
  <c r="H30" i="6"/>
  <c r="FB30" i="6" s="1"/>
  <c r="EF30" i="6"/>
  <c r="EH30" i="6" s="1"/>
  <c r="CY30" i="6"/>
  <c r="DA30" i="6" s="1"/>
  <c r="AV30" i="6"/>
  <c r="AX30" i="6" s="1"/>
  <c r="AY30" i="6" s="1"/>
  <c r="O30" i="6"/>
  <c r="Q30" i="6" s="1"/>
  <c r="BR43" i="6"/>
  <c r="BT43" i="6" s="1"/>
  <c r="BU43" i="6" s="1"/>
  <c r="BY43" i="6" s="1"/>
  <c r="Z43" i="6"/>
  <c r="AB43" i="6" s="1"/>
  <c r="AC43" i="6" s="1"/>
  <c r="AG43" i="6" s="1"/>
  <c r="CN43" i="6"/>
  <c r="CP43" i="6" s="1"/>
  <c r="CQ43" i="6" s="1"/>
  <c r="CU43" i="6" s="1"/>
  <c r="AV43" i="6"/>
  <c r="AX43" i="6" s="1"/>
  <c r="AY43" i="6" s="1"/>
  <c r="BC43" i="6" s="1"/>
  <c r="H43" i="6"/>
  <c r="L43" i="6" s="1"/>
  <c r="M43" i="6" s="1"/>
  <c r="DU43" i="6"/>
  <c r="DW43" i="6" s="1"/>
  <c r="DX43" i="6" s="1"/>
  <c r="EB43" i="6" s="1"/>
  <c r="O43" i="6"/>
  <c r="Q43" i="6" s="1"/>
  <c r="R43" i="6" s="1"/>
  <c r="V43" i="6" s="1"/>
  <c r="FM43" i="6"/>
  <c r="FO43" i="6" s="1"/>
  <c r="FP43" i="6" s="1"/>
  <c r="FT43" i="6" s="1"/>
  <c r="AK43" i="6"/>
  <c r="AM43" i="6" s="1"/>
  <c r="AN43" i="6" s="1"/>
  <c r="AR43" i="6" s="1"/>
  <c r="CY43" i="6"/>
  <c r="DA43" i="6" s="1"/>
  <c r="DB43" i="6" s="1"/>
  <c r="DF43" i="6" s="1"/>
  <c r="CC43" i="6"/>
  <c r="CE43" i="6" s="1"/>
  <c r="CF43" i="6" s="1"/>
  <c r="CJ43" i="6" s="1"/>
  <c r="ER30" i="24"/>
  <c r="CZ30" i="24"/>
  <c r="BH30" i="24"/>
  <c r="P30" i="24"/>
  <c r="H30" i="24"/>
  <c r="FC30" i="24"/>
  <c r="DK30" i="24"/>
  <c r="BS30" i="24"/>
  <c r="AA30" i="24"/>
  <c r="FN30" i="24"/>
  <c r="DV30" i="24"/>
  <c r="CD30" i="24"/>
  <c r="AL30" i="24"/>
  <c r="FY30" i="24"/>
  <c r="EG30" i="24"/>
  <c r="CO30" i="24"/>
  <c r="AW30" i="24"/>
  <c r="BJ38" i="20"/>
  <c r="BJ79" i="20" s="1"/>
  <c r="G57" i="27" s="1"/>
  <c r="BJ37" i="20"/>
  <c r="BJ78" i="20" s="1"/>
  <c r="G56" i="27" s="1"/>
  <c r="BJ40" i="20"/>
  <c r="BJ81" i="20" s="1"/>
  <c r="G59" i="27" s="1"/>
  <c r="BJ35" i="20"/>
  <c r="BJ76" i="20" s="1"/>
  <c r="G54" i="27" s="1"/>
  <c r="GE33" i="24"/>
  <c r="AG27" i="24"/>
  <c r="BH34" i="20"/>
  <c r="BH75" i="20" s="1"/>
  <c r="AZ34" i="20"/>
  <c r="AZ75" i="20" s="1"/>
  <c r="V27" i="24"/>
  <c r="BH33" i="20"/>
  <c r="BH74" i="20" s="1"/>
  <c r="AZ33" i="20"/>
  <c r="AZ74" i="20" s="1"/>
  <c r="BC27" i="24"/>
  <c r="AZ36" i="20"/>
  <c r="AZ77" i="20" s="1"/>
  <c r="BH36" i="20"/>
  <c r="BH77" i="20" s="1"/>
  <c r="FT27" i="24"/>
  <c r="BH47" i="20"/>
  <c r="BH88" i="20" s="1"/>
  <c r="AZ47" i="20"/>
  <c r="AZ88" i="20" s="1"/>
  <c r="DJ37" i="6"/>
  <c r="DL37" i="6" s="1"/>
  <c r="DM37" i="6" s="1"/>
  <c r="Z37" i="6"/>
  <c r="AB37" i="6" s="1"/>
  <c r="AC37" i="6" s="1"/>
  <c r="DU37" i="6"/>
  <c r="DW37" i="6" s="1"/>
  <c r="DX37" i="6" s="1"/>
  <c r="AK37" i="6"/>
  <c r="AM37" i="6" s="1"/>
  <c r="AN37" i="6" s="1"/>
  <c r="H37" i="6"/>
  <c r="L37" i="6" s="1"/>
  <c r="M37" i="6" s="1"/>
  <c r="CY37" i="6"/>
  <c r="DA37" i="6" s="1"/>
  <c r="DB37" i="6" s="1"/>
  <c r="FX37" i="6"/>
  <c r="FZ37" i="6" s="1"/>
  <c r="GA37" i="6" s="1"/>
  <c r="O37" i="6"/>
  <c r="Q37" i="6" s="1"/>
  <c r="R37" i="6" s="1"/>
  <c r="CN37" i="6"/>
  <c r="CP37" i="6" s="1"/>
  <c r="CQ37" i="6" s="1"/>
  <c r="ER38" i="24"/>
  <c r="CZ38" i="24"/>
  <c r="BH38" i="24"/>
  <c r="P38" i="24"/>
  <c r="H38" i="24"/>
  <c r="L38" i="24" s="1"/>
  <c r="M38" i="24" s="1"/>
  <c r="CU38" i="24" s="1"/>
  <c r="FN38" i="24"/>
  <c r="DV38" i="24"/>
  <c r="CD38" i="24"/>
  <c r="AL38" i="24"/>
  <c r="FY38" i="24"/>
  <c r="EG38" i="24"/>
  <c r="CO38" i="24"/>
  <c r="AW38" i="24"/>
  <c r="FC38" i="24"/>
  <c r="DK38" i="24"/>
  <c r="BS38" i="24"/>
  <c r="AA38" i="24"/>
  <c r="K30" i="24"/>
  <c r="K29" i="24"/>
  <c r="K30" i="6"/>
  <c r="K29" i="6"/>
  <c r="EI30" i="6"/>
  <c r="DB30" i="6"/>
  <c r="R30" i="6"/>
  <c r="DM30" i="6"/>
  <c r="DX30" i="6"/>
  <c r="FP30" i="24"/>
  <c r="DX30" i="24"/>
  <c r="CF30" i="24"/>
  <c r="AN30" i="24"/>
  <c r="L30" i="24"/>
  <c r="M30" i="24" s="1"/>
  <c r="GA30" i="24"/>
  <c r="EI30" i="24"/>
  <c r="CQ30" i="24"/>
  <c r="AY30" i="24"/>
  <c r="BC30" i="24" s="1"/>
  <c r="ET30" i="24"/>
  <c r="DB30" i="24"/>
  <c r="BJ30" i="24"/>
  <c r="R30" i="24"/>
  <c r="V30" i="24" s="1"/>
  <c r="FE30" i="24"/>
  <c r="DM30" i="24"/>
  <c r="BU30" i="24"/>
  <c r="AC30" i="24"/>
  <c r="AG30" i="24" s="1"/>
  <c r="FI43" i="24"/>
  <c r="EX43" i="24"/>
  <c r="GE43" i="24"/>
  <c r="EB43" i="24"/>
  <c r="EM38" i="24"/>
  <c r="BL44" i="20"/>
  <c r="BL42" i="20"/>
  <c r="DF38" i="24"/>
  <c r="BL41" i="20"/>
  <c r="BL39" i="20"/>
  <c r="AG32" i="24"/>
  <c r="V32" i="24"/>
  <c r="BC32" i="24"/>
  <c r="FT32" i="24"/>
  <c r="AX42" i="20"/>
  <c r="AX83" i="20" s="1"/>
  <c r="G29" i="27" s="1"/>
  <c r="AX41" i="20"/>
  <c r="AX82" i="20" s="1"/>
  <c r="G28" i="27" s="1"/>
  <c r="AX44" i="20"/>
  <c r="AX85" i="20" s="1"/>
  <c r="G31" i="27" s="1"/>
  <c r="AX39" i="20"/>
  <c r="AX80" i="20" s="1"/>
  <c r="G26" i="27" s="1"/>
  <c r="K38" i="24"/>
  <c r="K37" i="24"/>
  <c r="K38" i="6"/>
  <c r="K37" i="6"/>
  <c r="AA43" i="6"/>
  <c r="FN43" i="6"/>
  <c r="AL43" i="6"/>
  <c r="AW43" i="6"/>
  <c r="CZ43" i="6"/>
  <c r="P43" i="6"/>
  <c r="DJ22" i="6"/>
  <c r="DL22" i="6" s="1"/>
  <c r="DM22" i="6" s="1"/>
  <c r="Z22" i="6"/>
  <c r="AB22" i="6" s="1"/>
  <c r="AC22" i="6" s="1"/>
  <c r="DU22" i="6"/>
  <c r="DW22" i="6" s="1"/>
  <c r="DX22" i="6" s="1"/>
  <c r="AK22" i="6"/>
  <c r="AM22" i="6" s="1"/>
  <c r="AN22" i="6" s="1"/>
  <c r="E7" i="6"/>
  <c r="H22" i="6"/>
  <c r="L22" i="6" s="1"/>
  <c r="M22" i="6" s="1"/>
  <c r="FX22" i="6"/>
  <c r="FZ22" i="6" s="1"/>
  <c r="GA22" i="6" s="1"/>
  <c r="CN22" i="6"/>
  <c r="CP22" i="6" s="1"/>
  <c r="CQ22" i="6" s="1"/>
  <c r="EF22" i="6"/>
  <c r="EH22" i="6" s="1"/>
  <c r="EI22" i="6" s="1"/>
  <c r="O22" i="6"/>
  <c r="Q22" i="6" s="1"/>
  <c r="R22" i="6" s="1"/>
  <c r="AV22" i="6"/>
  <c r="AX22" i="6" s="1"/>
  <c r="AY22" i="6" s="1"/>
  <c r="EQ22" i="6"/>
  <c r="ES22" i="6" s="1"/>
  <c r="ET22" i="6" s="1"/>
  <c r="FY46" i="24"/>
  <c r="ER46" i="24"/>
  <c r="CZ46" i="24"/>
  <c r="BH46" i="24"/>
  <c r="P46" i="24"/>
  <c r="ER43" i="24"/>
  <c r="CZ43" i="24"/>
  <c r="BH43" i="24"/>
  <c r="P43" i="24"/>
  <c r="ER33" i="24"/>
  <c r="FC46" i="24"/>
  <c r="DK46" i="24"/>
  <c r="BS46" i="24"/>
  <c r="AA46" i="24"/>
  <c r="FC43" i="24"/>
  <c r="DK43" i="24"/>
  <c r="BS43" i="24"/>
  <c r="AA43" i="24"/>
  <c r="FN46" i="24"/>
  <c r="DV46" i="24"/>
  <c r="CD46" i="24"/>
  <c r="AL46" i="24"/>
  <c r="FN43" i="24"/>
  <c r="DV43" i="24"/>
  <c r="CD43" i="24"/>
  <c r="AL43" i="24"/>
  <c r="EG46" i="24"/>
  <c r="CO46" i="24"/>
  <c r="AW46" i="24"/>
  <c r="FY43" i="24"/>
  <c r="EG43" i="24"/>
  <c r="CO43" i="24"/>
  <c r="AW43" i="24"/>
  <c r="EG33" i="24"/>
  <c r="DV33" i="24"/>
  <c r="CZ33" i="24"/>
  <c r="BH33" i="24"/>
  <c r="P33" i="24"/>
  <c r="ER22" i="24"/>
  <c r="DK33" i="24"/>
  <c r="BS33" i="24"/>
  <c r="AA33" i="24"/>
  <c r="FY33" i="24"/>
  <c r="FN33" i="24"/>
  <c r="CD33" i="24"/>
  <c r="AL33" i="24"/>
  <c r="FC33" i="24"/>
  <c r="CO33" i="24"/>
  <c r="AW33" i="24"/>
  <c r="EG22" i="24"/>
  <c r="CO22" i="24"/>
  <c r="AW22" i="24"/>
  <c r="FY22" i="24"/>
  <c r="FN22" i="24"/>
  <c r="CZ22" i="24"/>
  <c r="BH22" i="24"/>
  <c r="P22" i="24"/>
  <c r="H22" i="24"/>
  <c r="L22" i="24" s="1"/>
  <c r="M22" i="24" s="1"/>
  <c r="GE22" i="24" s="1"/>
  <c r="FC22" i="24"/>
  <c r="DK22" i="24"/>
  <c r="BS22" i="24"/>
  <c r="AA22" i="24"/>
  <c r="DV22" i="24"/>
  <c r="CD22" i="24"/>
  <c r="AL22" i="24"/>
  <c r="BD37" i="20"/>
  <c r="BD78" i="20" s="1"/>
  <c r="AG42" i="24"/>
  <c r="V42" i="24"/>
  <c r="BC42" i="24"/>
  <c r="FT42" i="24"/>
  <c r="BF44" i="20"/>
  <c r="BF85" i="20" s="1"/>
  <c r="G47" i="27" s="1"/>
  <c r="BY37" i="24"/>
  <c r="BF38" i="20"/>
  <c r="BF79" i="20" s="1"/>
  <c r="G41" i="27" s="1"/>
  <c r="BF45" i="20"/>
  <c r="BF86" i="20" s="1"/>
  <c r="G48" i="27" s="1"/>
  <c r="EB37" i="24"/>
  <c r="BF43" i="20"/>
  <c r="BF84" i="20" s="1"/>
  <c r="G46" i="27" s="1"/>
  <c r="EX46" i="24"/>
  <c r="EM46" i="24"/>
  <c r="EB46" i="24"/>
  <c r="DJ27" i="6"/>
  <c r="DL27" i="6" s="1"/>
  <c r="DM27" i="6" s="1"/>
  <c r="Z27" i="6"/>
  <c r="AB27" i="6" s="1"/>
  <c r="AC27" i="6" s="1"/>
  <c r="DU27" i="6"/>
  <c r="DW27" i="6" s="1"/>
  <c r="DX27" i="6" s="1"/>
  <c r="CO27" i="6"/>
  <c r="AK27" i="6"/>
  <c r="AM27" i="6" s="1"/>
  <c r="AN27" i="6" s="1"/>
  <c r="AV27" i="6"/>
  <c r="AX27" i="6" s="1"/>
  <c r="AY27" i="6" s="1"/>
  <c r="H27" i="6"/>
  <c r="L27" i="6" s="1"/>
  <c r="M27" i="6" s="1"/>
  <c r="CY27" i="6"/>
  <c r="DA27" i="6" s="1"/>
  <c r="DB27" i="6" s="1"/>
  <c r="EQ27" i="6"/>
  <c r="ES27" i="6" s="1"/>
  <c r="ET27" i="6" s="1"/>
  <c r="CN27" i="6"/>
  <c r="CP27" i="6" s="1"/>
  <c r="CQ27" i="6" s="1"/>
  <c r="EF27" i="6"/>
  <c r="EH27" i="6" s="1"/>
  <c r="EI27" i="6" s="1"/>
  <c r="BG27" i="6"/>
  <c r="BI27" i="6" s="1"/>
  <c r="BJ27" i="6" s="1"/>
  <c r="AR37" i="20"/>
  <c r="AR78" i="20" s="1"/>
  <c r="CU22" i="24"/>
  <c r="AR40" i="20"/>
  <c r="AR81" i="20" s="1"/>
  <c r="AR39" i="20"/>
  <c r="AR80" i="20" s="1"/>
  <c r="AG22" i="24"/>
  <c r="AR34" i="20"/>
  <c r="AR75" i="20" s="1"/>
  <c r="CU40" i="24"/>
  <c r="AR40" i="24"/>
  <c r="DQ45" i="24"/>
  <c r="DF45" i="24"/>
  <c r="EM45" i="24"/>
  <c r="CJ45" i="24"/>
  <c r="V21" i="24"/>
  <c r="AP33" i="20"/>
  <c r="AP74" i="20" s="1"/>
  <c r="G4" i="27" s="1"/>
  <c r="BC21" i="24"/>
  <c r="AP36" i="20"/>
  <c r="AP77" i="20" s="1"/>
  <c r="G7" i="27" s="1"/>
  <c r="FT21" i="24"/>
  <c r="AP47" i="20"/>
  <c r="AP88" i="20" s="1"/>
  <c r="G18" i="27" s="1"/>
  <c r="FI21" i="24"/>
  <c r="AP46" i="20"/>
  <c r="AP87" i="20" s="1"/>
  <c r="G17" i="27" s="1"/>
  <c r="FY39" i="6"/>
  <c r="FX39" i="6"/>
  <c r="FZ39" i="6" s="1"/>
  <c r="GA39" i="6" s="1"/>
  <c r="CN39" i="6"/>
  <c r="CP39" i="6" s="1"/>
  <c r="CQ39" i="6" s="1"/>
  <c r="FB39" i="6"/>
  <c r="FD39" i="6" s="1"/>
  <c r="FE39" i="6" s="1"/>
  <c r="EG39" i="6"/>
  <c r="BR39" i="6"/>
  <c r="BT39" i="6" s="1"/>
  <c r="BU39" i="6" s="1"/>
  <c r="Z39" i="6"/>
  <c r="AB39" i="6" s="1"/>
  <c r="AC39" i="6" s="1"/>
  <c r="FM39" i="6"/>
  <c r="FO39" i="6" s="1"/>
  <c r="FP39" i="6" s="1"/>
  <c r="EF39" i="6"/>
  <c r="EH39" i="6" s="1"/>
  <c r="EI39" i="6" s="1"/>
  <c r="CC39" i="6"/>
  <c r="CE39" i="6" s="1"/>
  <c r="CF39" i="6" s="1"/>
  <c r="AK39" i="6"/>
  <c r="AM39" i="6" s="1"/>
  <c r="AN39" i="6" s="1"/>
  <c r="CO39" i="6"/>
  <c r="H39" i="6"/>
  <c r="L39" i="6" s="1"/>
  <c r="M39" i="6" s="1"/>
  <c r="O39" i="6"/>
  <c r="Q39" i="6" s="1"/>
  <c r="R39" i="6" s="1"/>
  <c r="BG39" i="6"/>
  <c r="BI39" i="6" s="1"/>
  <c r="BJ39" i="6" s="1"/>
  <c r="DJ39" i="6"/>
  <c r="DL39" i="6" s="1"/>
  <c r="DM39" i="6" s="1"/>
  <c r="CY39" i="6"/>
  <c r="DA39" i="6" s="1"/>
  <c r="DB39" i="6" s="1"/>
  <c r="DU39" i="6"/>
  <c r="DW39" i="6" s="1"/>
  <c r="DX39" i="6" s="1"/>
  <c r="AV39" i="6"/>
  <c r="AX39" i="6" s="1"/>
  <c r="AY39" i="6" s="1"/>
  <c r="EQ39" i="6"/>
  <c r="ES39" i="6" s="1"/>
  <c r="ET39" i="6" s="1"/>
  <c r="DJ45" i="6"/>
  <c r="DL45" i="6" s="1"/>
  <c r="DM45" i="6" s="1"/>
  <c r="DQ45" i="6" s="1"/>
  <c r="BR45" i="6"/>
  <c r="BT45" i="6" s="1"/>
  <c r="BU45" i="6" s="1"/>
  <c r="BY45" i="6" s="1"/>
  <c r="Z45" i="6"/>
  <c r="AB45" i="6" s="1"/>
  <c r="AC45" i="6" s="1"/>
  <c r="AG45" i="6" s="1"/>
  <c r="DU45" i="6"/>
  <c r="DW45" i="6" s="1"/>
  <c r="DX45" i="6" s="1"/>
  <c r="EB45" i="6" s="1"/>
  <c r="CC45" i="6"/>
  <c r="CE45" i="6" s="1"/>
  <c r="CF45" i="6" s="1"/>
  <c r="CJ45" i="6" s="1"/>
  <c r="AK45" i="6"/>
  <c r="AM45" i="6" s="1"/>
  <c r="AN45" i="6" s="1"/>
  <c r="AR45" i="6" s="1"/>
  <c r="EF45" i="6"/>
  <c r="EH45" i="6" s="1"/>
  <c r="EI45" i="6" s="1"/>
  <c r="EM45" i="6" s="1"/>
  <c r="CN45" i="6"/>
  <c r="CP45" i="6" s="1"/>
  <c r="CQ45" i="6" s="1"/>
  <c r="CU45" i="6" s="1"/>
  <c r="AV45" i="6"/>
  <c r="AX45" i="6" s="1"/>
  <c r="AY45" i="6" s="1"/>
  <c r="BC45" i="6" s="1"/>
  <c r="H45" i="6"/>
  <c r="L45" i="6" s="1"/>
  <c r="M45" i="6" s="1"/>
  <c r="CY45" i="6"/>
  <c r="DA45" i="6" s="1"/>
  <c r="DB45" i="6" s="1"/>
  <c r="DF45" i="6" s="1"/>
  <c r="EQ45" i="6"/>
  <c r="ES45" i="6" s="1"/>
  <c r="ET45" i="6" s="1"/>
  <c r="EX45" i="6" s="1"/>
  <c r="O45" i="6"/>
  <c r="Q45" i="6" s="1"/>
  <c r="R45" i="6" s="1"/>
  <c r="V45" i="6" s="1"/>
  <c r="BG45" i="6"/>
  <c r="BI45" i="6" s="1"/>
  <c r="BJ45" i="6" s="1"/>
  <c r="BN45" i="6" s="1"/>
  <c r="ER39" i="24"/>
  <c r="CZ39" i="24"/>
  <c r="BH39" i="24"/>
  <c r="P39" i="24"/>
  <c r="H39" i="24"/>
  <c r="L39" i="24" s="1"/>
  <c r="M39" i="24" s="1"/>
  <c r="V39" i="24" s="1"/>
  <c r="FC39" i="24"/>
  <c r="DK39" i="24"/>
  <c r="BS39" i="24"/>
  <c r="AA39" i="24"/>
  <c r="FN39" i="24"/>
  <c r="DV39" i="24"/>
  <c r="CD39" i="24"/>
  <c r="AL39" i="24"/>
  <c r="FY39" i="24"/>
  <c r="EG39" i="24"/>
  <c r="CO39" i="24"/>
  <c r="AW39" i="24"/>
  <c r="BJ42" i="20"/>
  <c r="BJ83" i="20" s="1"/>
  <c r="G61" i="27" s="1"/>
  <c r="BJ41" i="20"/>
  <c r="BJ82" i="20" s="1"/>
  <c r="G60" i="27" s="1"/>
  <c r="BJ44" i="20"/>
  <c r="BJ85" i="20" s="1"/>
  <c r="G63" i="27" s="1"/>
  <c r="BJ39" i="20"/>
  <c r="BJ80" i="20" s="1"/>
  <c r="G58" i="27" s="1"/>
  <c r="BY27" i="24"/>
  <c r="AZ38" i="20"/>
  <c r="AZ79" i="20" s="1"/>
  <c r="BH38" i="20"/>
  <c r="BH79" i="20" s="1"/>
  <c r="BN27" i="24"/>
  <c r="BH37" i="20"/>
  <c r="BH78" i="20" s="1"/>
  <c r="AZ37" i="20"/>
  <c r="AZ78" i="20" s="1"/>
  <c r="CU27" i="24"/>
  <c r="BH40" i="20"/>
  <c r="BH81" i="20" s="1"/>
  <c r="AZ40" i="20"/>
  <c r="AZ81" i="20" s="1"/>
  <c r="AR27" i="24"/>
  <c r="AZ35" i="20"/>
  <c r="AZ76" i="20" s="1"/>
  <c r="BH35" i="20"/>
  <c r="BH76" i="20" s="1"/>
  <c r="DJ38" i="6"/>
  <c r="DL38" i="6" s="1"/>
  <c r="DM38" i="6" s="1"/>
  <c r="Z38" i="6"/>
  <c r="AB38" i="6" s="1"/>
  <c r="AC38" i="6" s="1"/>
  <c r="DU38" i="6"/>
  <c r="DW38" i="6" s="1"/>
  <c r="DX38" i="6" s="1"/>
  <c r="AK38" i="6"/>
  <c r="AM38" i="6" s="1"/>
  <c r="AN38" i="6" s="1"/>
  <c r="P38" i="6"/>
  <c r="H38" i="6"/>
  <c r="L38" i="6" s="1"/>
  <c r="M38" i="6" s="1"/>
  <c r="EF38" i="6"/>
  <c r="EH38" i="6" s="1"/>
  <c r="EI38" i="6" s="1"/>
  <c r="CY38" i="6"/>
  <c r="DA38" i="6" s="1"/>
  <c r="DB38" i="6" s="1"/>
  <c r="AV38" i="6"/>
  <c r="AX38" i="6" s="1"/>
  <c r="AY38" i="6" s="1"/>
  <c r="O38" i="6"/>
  <c r="Q38" i="6" s="1"/>
  <c r="R38" i="6" s="1"/>
  <c r="ER37" i="24"/>
  <c r="CZ37" i="24"/>
  <c r="BH37" i="24"/>
  <c r="P37" i="24"/>
  <c r="H37" i="24"/>
  <c r="L37" i="24" s="1"/>
  <c r="M37" i="24" s="1"/>
  <c r="BN37" i="24" s="1"/>
  <c r="FN37" i="24"/>
  <c r="FY37" i="24"/>
  <c r="EG37" i="24"/>
  <c r="CO37" i="24"/>
  <c r="CD37" i="24"/>
  <c r="DK37" i="24"/>
  <c r="BS37" i="24"/>
  <c r="FC37" i="24"/>
  <c r="DV37" i="24"/>
  <c r="AW37" i="24"/>
  <c r="AL37" i="24"/>
  <c r="AA37" i="24"/>
  <c r="EI24" i="6"/>
  <c r="DB24" i="6"/>
  <c r="BJ24" i="6"/>
  <c r="R24" i="6"/>
  <c r="FP24" i="24"/>
  <c r="DX24" i="24"/>
  <c r="CF24" i="24"/>
  <c r="AN24" i="24"/>
  <c r="L24" i="24"/>
  <c r="M24" i="24" s="1"/>
  <c r="FE24" i="24"/>
  <c r="DM24" i="24"/>
  <c r="BU24" i="24"/>
  <c r="EI24" i="24"/>
  <c r="DB24" i="24"/>
  <c r="GA24" i="24"/>
  <c r="CQ24" i="24"/>
  <c r="BJ24" i="24"/>
  <c r="AC24" i="24"/>
  <c r="R24" i="24"/>
  <c r="ET24" i="24"/>
  <c r="AY24" i="24"/>
  <c r="AG43" i="24"/>
  <c r="V43" i="24"/>
  <c r="BC43" i="24"/>
  <c r="FT43" i="24"/>
  <c r="GE38" i="24"/>
  <c r="BL48" i="20"/>
  <c r="FI38" i="24"/>
  <c r="BL46" i="20"/>
  <c r="EX38" i="24"/>
  <c r="BL45" i="20"/>
  <c r="EB38" i="24"/>
  <c r="BL43" i="20"/>
  <c r="BY32" i="24"/>
  <c r="BN32" i="24"/>
  <c r="CU32" i="24"/>
  <c r="AR32" i="24"/>
  <c r="AX46" i="20"/>
  <c r="AX87" i="20" s="1"/>
  <c r="G33" i="27" s="1"/>
  <c r="AX45" i="20"/>
  <c r="AX86" i="20" s="1"/>
  <c r="G32" i="27" s="1"/>
  <c r="AX48" i="20"/>
  <c r="AX89" i="20" s="1"/>
  <c r="G35" i="27" s="1"/>
  <c r="AX43" i="20"/>
  <c r="AX84" i="20" s="1"/>
  <c r="G30" i="27" s="1"/>
  <c r="K25" i="24"/>
  <c r="K24" i="24"/>
  <c r="K25" i="6"/>
  <c r="K24" i="6"/>
  <c r="Z32" i="6"/>
  <c r="AB32" i="6" s="1"/>
  <c r="AC32" i="6" s="1"/>
  <c r="AG32" i="6" s="1"/>
  <c r="AK32" i="6"/>
  <c r="AM32" i="6" s="1"/>
  <c r="AN32" i="6" s="1"/>
  <c r="AR32" i="6" s="1"/>
  <c r="H32" i="6"/>
  <c r="L32" i="6" s="1"/>
  <c r="M32" i="6" s="1"/>
  <c r="EF32" i="6"/>
  <c r="EH32" i="6" s="1"/>
  <c r="EI32" i="6" s="1"/>
  <c r="EM32" i="6" s="1"/>
  <c r="O32" i="6"/>
  <c r="Q32" i="6" s="1"/>
  <c r="R32" i="6" s="1"/>
  <c r="V32" i="6" s="1"/>
  <c r="AV32" i="6"/>
  <c r="AX32" i="6" s="1"/>
  <c r="AY32" i="6" s="1"/>
  <c r="BC32" i="6" s="1"/>
  <c r="CY32" i="6"/>
  <c r="DA32" i="6" s="1"/>
  <c r="DB32" i="6" s="1"/>
  <c r="DF32" i="6" s="1"/>
  <c r="BD39" i="20"/>
  <c r="BD80" i="20" s="1"/>
  <c r="BD38" i="20"/>
  <c r="BD79" i="20" s="1"/>
  <c r="BD43" i="20"/>
  <c r="BD84" i="20" s="1"/>
  <c r="BD41" i="20"/>
  <c r="BD82" i="20" s="1"/>
  <c r="BD45" i="20"/>
  <c r="BD86" i="20" s="1"/>
  <c r="BY42" i="24"/>
  <c r="BN42" i="24"/>
  <c r="CU42" i="24"/>
  <c r="AR42" i="24"/>
  <c r="BF41" i="20"/>
  <c r="BF82" i="20" s="1"/>
  <c r="G44" i="27" s="1"/>
  <c r="GE37" i="24"/>
  <c r="BF48" i="20"/>
  <c r="BF89" i="20" s="1"/>
  <c r="G51" i="27" s="1"/>
  <c r="BF40" i="20"/>
  <c r="BF81" i="20" s="1"/>
  <c r="G43" i="27" s="1"/>
  <c r="FT37" i="24"/>
  <c r="BF47" i="20"/>
  <c r="BF88" i="20" s="1"/>
  <c r="G50" i="27" s="1"/>
  <c r="FT46" i="24"/>
  <c r="ER26" i="24"/>
  <c r="CZ26" i="24"/>
  <c r="BH26" i="24"/>
  <c r="P26" i="24"/>
  <c r="H26" i="24"/>
  <c r="L26" i="24" s="1"/>
  <c r="M26" i="24" s="1"/>
  <c r="BY26" i="24" s="1"/>
  <c r="FC26" i="24"/>
  <c r="DK26" i="24"/>
  <c r="BS26" i="24"/>
  <c r="AA26" i="24"/>
  <c r="FN26" i="24"/>
  <c r="DV26" i="24"/>
  <c r="CD26" i="24"/>
  <c r="AL26" i="24"/>
  <c r="FY26" i="24"/>
  <c r="EG26" i="24"/>
  <c r="CO26" i="24"/>
  <c r="AW26" i="24"/>
  <c r="DF22" i="24"/>
  <c r="AR41" i="20"/>
  <c r="AR82" i="20" s="1"/>
  <c r="AR44" i="20"/>
  <c r="AR85" i="20" s="1"/>
  <c r="EB22" i="24"/>
  <c r="AR43" i="20"/>
  <c r="AR84" i="20" s="1"/>
  <c r="AR38" i="20"/>
  <c r="AR79" i="20" s="1"/>
  <c r="J25" i="24"/>
  <c r="J24" i="24"/>
  <c r="J25" i="6"/>
  <c r="J24" i="6"/>
  <c r="DQ40" i="24"/>
  <c r="DF40" i="24"/>
  <c r="CJ40" i="24"/>
  <c r="FI45" i="24"/>
  <c r="EX45" i="24"/>
  <c r="GE45" i="24"/>
  <c r="EB45" i="24"/>
  <c r="BN21" i="24"/>
  <c r="AP37" i="20"/>
  <c r="AP78" i="20" s="1"/>
  <c r="G8" i="27" s="1"/>
  <c r="CU21" i="24"/>
  <c r="AP40" i="20"/>
  <c r="AP81" i="20" s="1"/>
  <c r="G11" i="27" s="1"/>
  <c r="AR21" i="24"/>
  <c r="AP35" i="20"/>
  <c r="AP76" i="20" s="1"/>
  <c r="G6" i="27" s="1"/>
  <c r="AG21" i="24"/>
  <c r="AP34" i="20"/>
  <c r="AP75" i="20" s="1"/>
  <c r="G5" i="27" s="1"/>
  <c r="DJ40" i="6"/>
  <c r="DL40" i="6" s="1"/>
  <c r="DM40" i="6" s="1"/>
  <c r="DQ40" i="6" s="1"/>
  <c r="DU40" i="6"/>
  <c r="DW40" i="6" s="1"/>
  <c r="DX40" i="6" s="1"/>
  <c r="EB40" i="6" s="1"/>
  <c r="AK40" i="6"/>
  <c r="AM40" i="6" s="1"/>
  <c r="AN40" i="6" s="1"/>
  <c r="AR40" i="6" s="1"/>
  <c r="P40" i="6"/>
  <c r="H40" i="6"/>
  <c r="L40" i="6" s="1"/>
  <c r="M40" i="6" s="1"/>
  <c r="BR40" i="6"/>
  <c r="BT40" i="6" s="1"/>
  <c r="BU40" i="6" s="1"/>
  <c r="BY40" i="6" s="1"/>
  <c r="EQ40" i="6"/>
  <c r="ES40" i="6" s="1"/>
  <c r="ET40" i="6" s="1"/>
  <c r="EX40" i="6" s="1"/>
  <c r="O40" i="6"/>
  <c r="Q40" i="6" s="1"/>
  <c r="R40" i="6" s="1"/>
  <c r="V40" i="6" s="1"/>
  <c r="FB46" i="6"/>
  <c r="FD46" i="6" s="1"/>
  <c r="FE46" i="6" s="1"/>
  <c r="FI46" i="6" s="1"/>
  <c r="BR46" i="6"/>
  <c r="BT46" i="6" s="1"/>
  <c r="BU46" i="6" s="1"/>
  <c r="BY46" i="6" s="1"/>
  <c r="Z46" i="6"/>
  <c r="AB46" i="6" s="1"/>
  <c r="AC46" i="6" s="1"/>
  <c r="AG46" i="6" s="1"/>
  <c r="DU46" i="6"/>
  <c r="DW46" i="6" s="1"/>
  <c r="DX46" i="6" s="1"/>
  <c r="EB46" i="6" s="1"/>
  <c r="AK46" i="6"/>
  <c r="AM46" i="6" s="1"/>
  <c r="AN46" i="6" s="1"/>
  <c r="AR46" i="6" s="1"/>
  <c r="CN46" i="6"/>
  <c r="CP46" i="6" s="1"/>
  <c r="CQ46" i="6" s="1"/>
  <c r="CU46" i="6" s="1"/>
  <c r="AV46" i="6"/>
  <c r="AX46" i="6" s="1"/>
  <c r="AY46" i="6" s="1"/>
  <c r="BC46" i="6" s="1"/>
  <c r="H46" i="6"/>
  <c r="L46" i="6" s="1"/>
  <c r="M46" i="6" s="1"/>
  <c r="CY46" i="6"/>
  <c r="DA46" i="6" s="1"/>
  <c r="DB46" i="6" s="1"/>
  <c r="DF46" i="6" s="1"/>
  <c r="FM46" i="6"/>
  <c r="FO46" i="6" s="1"/>
  <c r="FP46" i="6" s="1"/>
  <c r="FT46" i="6" s="1"/>
  <c r="EQ46" i="6"/>
  <c r="ES46" i="6" s="1"/>
  <c r="ET46" i="6" s="1"/>
  <c r="EX46" i="6" s="1"/>
  <c r="EF46" i="6"/>
  <c r="EH46" i="6" s="1"/>
  <c r="EI46" i="6" s="1"/>
  <c r="EM46" i="6" s="1"/>
  <c r="O46" i="6"/>
  <c r="Q46" i="6" s="1"/>
  <c r="R46" i="6" s="1"/>
  <c r="V46" i="6" s="1"/>
  <c r="FX46" i="6"/>
  <c r="FZ46" i="6" s="1"/>
  <c r="GA46" i="6" s="1"/>
  <c r="GE46" i="6" s="1"/>
  <c r="BG46" i="6"/>
  <c r="BI46" i="6" s="1"/>
  <c r="BJ46" i="6" s="1"/>
  <c r="BN46" i="6" s="1"/>
  <c r="ER40" i="24"/>
  <c r="CZ40" i="24"/>
  <c r="BH40" i="24"/>
  <c r="P40" i="24"/>
  <c r="H40" i="24"/>
  <c r="L40" i="24" s="1"/>
  <c r="M40" i="24" s="1"/>
  <c r="EX40" i="24" s="1"/>
  <c r="FC40" i="24"/>
  <c r="DK40" i="24"/>
  <c r="BS40" i="24"/>
  <c r="AA40" i="24"/>
  <c r="FN40" i="24"/>
  <c r="DV40" i="24"/>
  <c r="CD40" i="24"/>
  <c r="AL40" i="24"/>
  <c r="FY40" i="24"/>
  <c r="EG40" i="24"/>
  <c r="CO40" i="24"/>
  <c r="AW40" i="24"/>
  <c r="FI39" i="24"/>
  <c r="BJ46" i="20"/>
  <c r="BJ87" i="20" s="1"/>
  <c r="G65" i="27" s="1"/>
  <c r="BJ45" i="20"/>
  <c r="BJ86" i="20" s="1"/>
  <c r="G64" i="27" s="1"/>
  <c r="GE39" i="24"/>
  <c r="BJ48" i="20"/>
  <c r="BJ89" i="20" s="1"/>
  <c r="G67" i="27" s="1"/>
  <c r="BJ43" i="20"/>
  <c r="BJ84" i="20" s="1"/>
  <c r="G62" i="27" s="1"/>
  <c r="DQ27" i="24"/>
  <c r="BH42" i="20"/>
  <c r="BH83" i="20" s="1"/>
  <c r="AZ42" i="20"/>
  <c r="AZ83" i="20" s="1"/>
  <c r="DF27" i="24"/>
  <c r="BH41" i="20"/>
  <c r="BH82" i="20" s="1"/>
  <c r="AZ41" i="20"/>
  <c r="AZ82" i="20" s="1"/>
  <c r="EM27" i="24"/>
  <c r="BH44" i="20"/>
  <c r="BH85" i="20" s="1"/>
  <c r="AZ44" i="20"/>
  <c r="AZ85" i="20" s="1"/>
  <c r="CJ27" i="24"/>
  <c r="BH39" i="20"/>
  <c r="BH80" i="20" s="1"/>
  <c r="AZ39" i="20"/>
  <c r="AZ80" i="20" s="1"/>
  <c r="FC24" i="6"/>
  <c r="FB24" i="6"/>
  <c r="FD24" i="6" s="1"/>
  <c r="FE24" i="6" s="1"/>
  <c r="BR24" i="6"/>
  <c r="BT24" i="6" s="1"/>
  <c r="BU24" i="6" s="1"/>
  <c r="FY24" i="6"/>
  <c r="EG24" i="6"/>
  <c r="CZ24" i="6"/>
  <c r="BH24" i="6"/>
  <c r="P24" i="6"/>
  <c r="H24" i="6"/>
  <c r="L24" i="6" s="1"/>
  <c r="M24" i="6" s="1"/>
  <c r="EQ24" i="6"/>
  <c r="CN24" i="6"/>
  <c r="CP24" i="6" s="1"/>
  <c r="CQ24" i="6" s="1"/>
  <c r="AV24" i="6"/>
  <c r="AX24" i="6" s="1"/>
  <c r="AY24" i="6" s="1"/>
  <c r="O24" i="6"/>
  <c r="Q24" i="6" s="1"/>
  <c r="DU24" i="6"/>
  <c r="DW24" i="6" s="1"/>
  <c r="DX24" i="6" s="1"/>
  <c r="AK24" i="6"/>
  <c r="AM24" i="6" s="1"/>
  <c r="AN24" i="6" s="1"/>
  <c r="FX24" i="6"/>
  <c r="FZ24" i="6" s="1"/>
  <c r="GA24" i="6" s="1"/>
  <c r="BG24" i="6"/>
  <c r="BI24" i="6" s="1"/>
  <c r="FM24" i="6"/>
  <c r="FO24" i="6" s="1"/>
  <c r="FP24" i="6" s="1"/>
  <c r="CC24" i="6"/>
  <c r="CE24" i="6" s="1"/>
  <c r="CF24" i="6" s="1"/>
  <c r="CY24" i="6"/>
  <c r="DA24" i="6" s="1"/>
  <c r="EF24" i="6"/>
  <c r="EH24" i="6" s="1"/>
  <c r="ER25" i="24"/>
  <c r="CZ25" i="24"/>
  <c r="BH25" i="24"/>
  <c r="P25" i="24"/>
  <c r="H25" i="24"/>
  <c r="L25" i="24" s="1"/>
  <c r="M25" i="24" s="1"/>
  <c r="FN25" i="24"/>
  <c r="DV25" i="24"/>
  <c r="CD25" i="24"/>
  <c r="AL25" i="24"/>
  <c r="FY25" i="24"/>
  <c r="EG25" i="24"/>
  <c r="CO25" i="24"/>
  <c r="AW25" i="24"/>
  <c r="FC25" i="24"/>
  <c r="DK25" i="24"/>
  <c r="BS25" i="24"/>
  <c r="AA25" i="24"/>
  <c r="K43" i="24"/>
  <c r="K42" i="24"/>
  <c r="K40" i="24"/>
  <c r="K39" i="24"/>
  <c r="K43" i="6"/>
  <c r="K42" i="6"/>
  <c r="K40" i="6"/>
  <c r="K39" i="6"/>
  <c r="GA25" i="6"/>
  <c r="EI25" i="6"/>
  <c r="CQ25" i="6"/>
  <c r="FE25" i="6"/>
  <c r="FP25" i="6"/>
  <c r="AY25" i="6"/>
  <c r="ET25" i="6"/>
  <c r="DB25" i="6"/>
  <c r="R25" i="6"/>
  <c r="AC25" i="6"/>
  <c r="CF25" i="6"/>
  <c r="BU25" i="6"/>
  <c r="BJ25" i="6"/>
  <c r="AN25" i="6"/>
  <c r="L25" i="6"/>
  <c r="M25" i="6" s="1"/>
  <c r="FP25" i="24"/>
  <c r="DX25" i="24"/>
  <c r="CF25" i="24"/>
  <c r="AN25" i="24"/>
  <c r="GA25" i="24"/>
  <c r="ET25" i="24"/>
  <c r="DB25" i="24"/>
  <c r="BJ25" i="24"/>
  <c r="R25" i="24"/>
  <c r="FE25" i="24"/>
  <c r="DM25" i="24"/>
  <c r="BU25" i="24"/>
  <c r="AC25" i="24"/>
  <c r="EI25" i="24"/>
  <c r="CQ25" i="24"/>
  <c r="AY25" i="24"/>
  <c r="BY43" i="24"/>
  <c r="BN43" i="24"/>
  <c r="CU43" i="24"/>
  <c r="AR43" i="24"/>
  <c r="BC38" i="24"/>
  <c r="BL36" i="20"/>
  <c r="AG38" i="24"/>
  <c r="BL34" i="20"/>
  <c r="V38" i="24"/>
  <c r="BL33" i="20"/>
  <c r="FT38" i="24"/>
  <c r="BL47" i="20"/>
  <c r="DQ32" i="24"/>
  <c r="DF32" i="24"/>
  <c r="EM32" i="24"/>
  <c r="CJ32" i="24"/>
  <c r="AX34" i="20"/>
  <c r="AX75" i="20" s="1"/>
  <c r="G21" i="27" s="1"/>
  <c r="V26" i="24"/>
  <c r="AX33" i="20"/>
  <c r="AX74" i="20" s="1"/>
  <c r="G20" i="27" s="1"/>
  <c r="AX36" i="20"/>
  <c r="AX77" i="20" s="1"/>
  <c r="G23" i="27" s="1"/>
  <c r="FT26" i="24"/>
  <c r="AX47" i="20"/>
  <c r="AX88" i="20" s="1"/>
  <c r="G34" i="27" s="1"/>
  <c r="DJ33" i="6"/>
  <c r="DL33" i="6" s="1"/>
  <c r="DM33" i="6" s="1"/>
  <c r="DQ33" i="6" s="1"/>
  <c r="BR33" i="6"/>
  <c r="BT33" i="6" s="1"/>
  <c r="BU33" i="6" s="1"/>
  <c r="BY33" i="6" s="1"/>
  <c r="Z33" i="6"/>
  <c r="AB33" i="6" s="1"/>
  <c r="AC33" i="6" s="1"/>
  <c r="AG33" i="6" s="1"/>
  <c r="DU33" i="6"/>
  <c r="DW33" i="6" s="1"/>
  <c r="DX33" i="6" s="1"/>
  <c r="EB33" i="6" s="1"/>
  <c r="CC33" i="6"/>
  <c r="CE33" i="6" s="1"/>
  <c r="CF33" i="6" s="1"/>
  <c r="CJ33" i="6" s="1"/>
  <c r="AK33" i="6"/>
  <c r="AM33" i="6" s="1"/>
  <c r="AN33" i="6" s="1"/>
  <c r="AR33" i="6" s="1"/>
  <c r="H33" i="6"/>
  <c r="L33" i="6" s="1"/>
  <c r="M33" i="6" s="1"/>
  <c r="FX33" i="6"/>
  <c r="FZ33" i="6" s="1"/>
  <c r="GA33" i="6" s="1"/>
  <c r="GE33" i="6" s="1"/>
  <c r="CY33" i="6"/>
  <c r="DA33" i="6" s="1"/>
  <c r="DB33" i="6" s="1"/>
  <c r="DF33" i="6" s="1"/>
  <c r="AV33" i="6"/>
  <c r="AX33" i="6" s="1"/>
  <c r="AY33" i="6" s="1"/>
  <c r="BC33" i="6" s="1"/>
  <c r="EQ33" i="6"/>
  <c r="ES33" i="6" s="1"/>
  <c r="ET33" i="6" s="1"/>
  <c r="EX33" i="6" s="1"/>
  <c r="CN33" i="6"/>
  <c r="CP33" i="6" s="1"/>
  <c r="CQ33" i="6" s="1"/>
  <c r="CU33" i="6" s="1"/>
  <c r="O33" i="6"/>
  <c r="Q33" i="6" s="1"/>
  <c r="R33" i="6" s="1"/>
  <c r="V33" i="6" s="1"/>
  <c r="EF33" i="6"/>
  <c r="EH33" i="6" s="1"/>
  <c r="EI33" i="6" s="1"/>
  <c r="EM33" i="6" s="1"/>
  <c r="BG33" i="6"/>
  <c r="BI33" i="6" s="1"/>
  <c r="BJ33" i="6" s="1"/>
  <c r="BN33" i="6" s="1"/>
  <c r="BD46" i="20"/>
  <c r="BD87" i="20" s="1"/>
  <c r="BD42" i="20"/>
  <c r="BD83" i="20" s="1"/>
  <c r="DQ42" i="24"/>
  <c r="DF42" i="24"/>
  <c r="EM42" i="24"/>
  <c r="CJ42" i="24"/>
  <c r="V37" i="24"/>
  <c r="BF33" i="20"/>
  <c r="BF74" i="20" s="1"/>
  <c r="G36" i="27" s="1"/>
  <c r="BC37" i="24"/>
  <c r="BF36" i="20"/>
  <c r="BF77" i="20" s="1"/>
  <c r="G39" i="27" s="1"/>
  <c r="DQ37" i="24"/>
  <c r="BF42" i="20"/>
  <c r="BF83" i="20" s="1"/>
  <c r="G45" i="27" s="1"/>
  <c r="AR37" i="24"/>
  <c r="BF35" i="20"/>
  <c r="BF76" i="20" s="1"/>
  <c r="G38" i="27" s="1"/>
  <c r="CJ24" i="6" l="1"/>
  <c r="AT13" i="20"/>
  <c r="AT54" i="20" s="1"/>
  <c r="AR24" i="6"/>
  <c r="AT9" i="20"/>
  <c r="CU24" i="6"/>
  <c r="AT14" i="20"/>
  <c r="AT55" i="20" s="1"/>
  <c r="BY24" i="6"/>
  <c r="AT12" i="20"/>
  <c r="AT53" i="20" s="1"/>
  <c r="FT24" i="6"/>
  <c r="AT21" i="20"/>
  <c r="AT62" i="20" s="1"/>
  <c r="EB24" i="6"/>
  <c r="AT17" i="20"/>
  <c r="AT58" i="20" s="1"/>
  <c r="FI24" i="6"/>
  <c r="AT20" i="20"/>
  <c r="AT61" i="20" s="1"/>
  <c r="FD30" i="6"/>
  <c r="FE30" i="6" s="1"/>
  <c r="FC30" i="6"/>
  <c r="DL25" i="6"/>
  <c r="DM25" i="6" s="1"/>
  <c r="DK25" i="6"/>
  <c r="GE24" i="6"/>
  <c r="AT22" i="20"/>
  <c r="AT63" i="20" s="1"/>
  <c r="BC24" i="6"/>
  <c r="AT10" i="20"/>
  <c r="FI25" i="24"/>
  <c r="AV46" i="20"/>
  <c r="AV87" i="20" s="1"/>
  <c r="CJ25" i="24"/>
  <c r="AV39" i="20"/>
  <c r="AV80" i="20" s="1"/>
  <c r="BC25" i="6"/>
  <c r="AV10" i="20"/>
  <c r="AD25" i="24"/>
  <c r="AE25" i="24" s="1"/>
  <c r="K34" i="20" s="1"/>
  <c r="AU34" i="20"/>
  <c r="AU75" i="20" s="1"/>
  <c r="AZ25" i="24"/>
  <c r="BA25" i="24" s="1"/>
  <c r="K36" i="20" s="1"/>
  <c r="AU36" i="20"/>
  <c r="AU77" i="20" s="1"/>
  <c r="AO25" i="24"/>
  <c r="AP25" i="24" s="1"/>
  <c r="K35" i="20" s="1"/>
  <c r="AU35" i="20"/>
  <c r="AU76" i="20" s="1"/>
  <c r="EU25" i="24"/>
  <c r="EV25" i="24" s="1"/>
  <c r="K45" i="20" s="1"/>
  <c r="AU45" i="20"/>
  <c r="AU86" i="20" s="1"/>
  <c r="GB24" i="6"/>
  <c r="GC24" i="6" s="1"/>
  <c r="I22" i="20" s="1"/>
  <c r="AS22" i="20"/>
  <c r="AS63" i="20" s="1"/>
  <c r="FF24" i="6"/>
  <c r="FG24" i="6" s="1"/>
  <c r="I20" i="20" s="1"/>
  <c r="AS20" i="20"/>
  <c r="AS61" i="20" s="1"/>
  <c r="GB40" i="24"/>
  <c r="GC40" i="24" s="1"/>
  <c r="AE48" i="20" s="1"/>
  <c r="FF40" i="24"/>
  <c r="FG40" i="24" s="1"/>
  <c r="AE46" i="20" s="1"/>
  <c r="DC40" i="24"/>
  <c r="DD40" i="24" s="1"/>
  <c r="AE41" i="20" s="1"/>
  <c r="BC24" i="24"/>
  <c r="AT36" i="20"/>
  <c r="AT77" i="20" s="1"/>
  <c r="DF24" i="6"/>
  <c r="AT15" i="20"/>
  <c r="AT56" i="20" s="1"/>
  <c r="AZ37" i="24"/>
  <c r="BA37" i="24" s="1"/>
  <c r="Y36" i="20" s="1"/>
  <c r="BE36" i="20"/>
  <c r="BE77" i="20" s="1"/>
  <c r="F39" i="27" s="1"/>
  <c r="H39" i="27" s="1"/>
  <c r="GB37" i="24"/>
  <c r="GC37" i="24" s="1"/>
  <c r="Y48" i="20" s="1"/>
  <c r="BE48" i="20"/>
  <c r="BE89" i="20" s="1"/>
  <c r="F51" i="27" s="1"/>
  <c r="H51" i="27" s="1"/>
  <c r="BC38" i="6"/>
  <c r="BL10" i="20"/>
  <c r="BD10" i="20"/>
  <c r="BD56" i="20" s="1"/>
  <c r="AR38" i="6"/>
  <c r="BL9" i="20"/>
  <c r="BD9" i="20"/>
  <c r="BD55" i="20" s="1"/>
  <c r="AG38" i="6"/>
  <c r="BL8" i="20"/>
  <c r="BD8" i="20"/>
  <c r="BD54" i="20" s="1"/>
  <c r="AA38" i="6"/>
  <c r="EB39" i="6"/>
  <c r="BJ17" i="20"/>
  <c r="BJ63" i="20" s="1"/>
  <c r="D62" i="27" s="1"/>
  <c r="CJ39" i="6"/>
  <c r="BJ13" i="20"/>
  <c r="BJ59" i="20" s="1"/>
  <c r="D58" i="27" s="1"/>
  <c r="EJ39" i="6"/>
  <c r="EK39" i="6" s="1"/>
  <c r="AC18" i="20" s="1"/>
  <c r="BI18" i="20"/>
  <c r="BI64" i="20" s="1"/>
  <c r="C63" i="27" s="1"/>
  <c r="GB39" i="6"/>
  <c r="GC39" i="6" s="1"/>
  <c r="AC22" i="20" s="1"/>
  <c r="BI22" i="20"/>
  <c r="BI68" i="20" s="1"/>
  <c r="C67" i="27" s="1"/>
  <c r="DF27" i="6"/>
  <c r="BH15" i="20"/>
  <c r="BH61" i="20" s="1"/>
  <c r="AZ15" i="20"/>
  <c r="AZ61" i="20" s="1"/>
  <c r="FM33" i="6"/>
  <c r="FB33" i="6"/>
  <c r="BC26" i="24"/>
  <c r="AG26" i="24"/>
  <c r="AG25" i="24"/>
  <c r="AV34" i="20"/>
  <c r="AV75" i="20" s="1"/>
  <c r="V25" i="24"/>
  <c r="AV33" i="20"/>
  <c r="AV74" i="20" s="1"/>
  <c r="GE25" i="24"/>
  <c r="AV48" i="20"/>
  <c r="AV89" i="20" s="1"/>
  <c r="EB25" i="24"/>
  <c r="AV43" i="20"/>
  <c r="AV84" i="20" s="1"/>
  <c r="BN25" i="6"/>
  <c r="AV11" i="20"/>
  <c r="V25" i="6"/>
  <c r="AV7" i="20"/>
  <c r="CU25" i="6"/>
  <c r="AV14" i="20"/>
  <c r="AV55" i="20" s="1"/>
  <c r="BV25" i="24"/>
  <c r="BW25" i="24" s="1"/>
  <c r="K38" i="20" s="1"/>
  <c r="AU38" i="20"/>
  <c r="AU79" i="20" s="1"/>
  <c r="CR25" i="24"/>
  <c r="CS25" i="24" s="1"/>
  <c r="K40" i="20" s="1"/>
  <c r="AU40" i="20"/>
  <c r="AU81" i="20" s="1"/>
  <c r="CG25" i="24"/>
  <c r="CH25" i="24" s="1"/>
  <c r="K39" i="20" s="1"/>
  <c r="AU39" i="20"/>
  <c r="AU80" i="20" s="1"/>
  <c r="S25" i="24"/>
  <c r="T25" i="24" s="1"/>
  <c r="K33" i="20" s="1"/>
  <c r="AU33" i="20"/>
  <c r="AU74" i="20" s="1"/>
  <c r="AW24" i="6"/>
  <c r="Z24" i="6"/>
  <c r="DJ24" i="6"/>
  <c r="AZ40" i="24"/>
  <c r="BA40" i="24" s="1"/>
  <c r="AE36" i="20" s="1"/>
  <c r="AO40" i="24"/>
  <c r="AP40" i="24" s="1"/>
  <c r="AE35" i="20" s="1"/>
  <c r="AD40" i="24"/>
  <c r="AE40" i="24" s="1"/>
  <c r="AE34" i="20" s="1"/>
  <c r="EU40" i="24"/>
  <c r="EV40" i="24" s="1"/>
  <c r="AE45" i="20" s="1"/>
  <c r="CC46" i="6"/>
  <c r="DJ46" i="6"/>
  <c r="CY40" i="6"/>
  <c r="Z40" i="6"/>
  <c r="AV40" i="6"/>
  <c r="EF40" i="6"/>
  <c r="DV40" i="6"/>
  <c r="BS40" i="6"/>
  <c r="EM40" i="24"/>
  <c r="BY22" i="24"/>
  <c r="EM22" i="24"/>
  <c r="CR26" i="24"/>
  <c r="CS26" i="24" s="1"/>
  <c r="M40" i="20" s="1"/>
  <c r="AW40" i="20"/>
  <c r="AW81" i="20" s="1"/>
  <c r="F27" i="27" s="1"/>
  <c r="H27" i="27" s="1"/>
  <c r="CG26" i="24"/>
  <c r="CH26" i="24" s="1"/>
  <c r="M39" i="20" s="1"/>
  <c r="AW39" i="20"/>
  <c r="AW80" i="20" s="1"/>
  <c r="F26" i="27" s="1"/>
  <c r="H26" i="27" s="1"/>
  <c r="BV26" i="24"/>
  <c r="BW26" i="24" s="1"/>
  <c r="M38" i="20" s="1"/>
  <c r="AW38" i="20"/>
  <c r="AW79" i="20" s="1"/>
  <c r="F25" i="27" s="1"/>
  <c r="H25" i="27" s="1"/>
  <c r="S26" i="24"/>
  <c r="T26" i="24" s="1"/>
  <c r="M33" i="20" s="1"/>
  <c r="AW33" i="20"/>
  <c r="AW74" i="20" s="1"/>
  <c r="F20" i="27" s="1"/>
  <c r="H20" i="27" s="1"/>
  <c r="CU37" i="24"/>
  <c r="DF37" i="24"/>
  <c r="BG32" i="6"/>
  <c r="EQ32" i="6"/>
  <c r="CC32" i="6"/>
  <c r="BR32" i="6"/>
  <c r="EB26" i="24"/>
  <c r="EX26" i="24"/>
  <c r="EX24" i="24"/>
  <c r="EU24" i="24"/>
  <c r="EV24" i="24" s="1"/>
  <c r="I45" i="20" s="1"/>
  <c r="AT45" i="20"/>
  <c r="AT86" i="20" s="1"/>
  <c r="CU24" i="24"/>
  <c r="AT40" i="20"/>
  <c r="AT81" i="20" s="1"/>
  <c r="BY24" i="24"/>
  <c r="AT38" i="20"/>
  <c r="AT79" i="20" s="1"/>
  <c r="AR24" i="24"/>
  <c r="AT35" i="20"/>
  <c r="AT76" i="20" s="1"/>
  <c r="DY37" i="24"/>
  <c r="DZ37" i="24" s="1"/>
  <c r="Y43" i="20" s="1"/>
  <c r="BE43" i="20"/>
  <c r="BE84" i="20" s="1"/>
  <c r="F46" i="27" s="1"/>
  <c r="H46" i="27" s="1"/>
  <c r="CG37" i="24"/>
  <c r="CH37" i="24" s="1"/>
  <c r="Y39" i="20" s="1"/>
  <c r="BE39" i="20"/>
  <c r="BE80" i="20" s="1"/>
  <c r="F42" i="27" s="1"/>
  <c r="H42" i="27" s="1"/>
  <c r="FQ37" i="24"/>
  <c r="FR37" i="24" s="1"/>
  <c r="Y47" i="20" s="1"/>
  <c r="BE47" i="20"/>
  <c r="BE88" i="20" s="1"/>
  <c r="F50" i="27" s="1"/>
  <c r="H50" i="27" s="1"/>
  <c r="DC37" i="24"/>
  <c r="DD37" i="24" s="1"/>
  <c r="Y41" i="20" s="1"/>
  <c r="BE41" i="20"/>
  <c r="BE82" i="20" s="1"/>
  <c r="F44" i="27" s="1"/>
  <c r="H44" i="27" s="1"/>
  <c r="EQ38" i="6"/>
  <c r="BG38" i="6"/>
  <c r="AW38" i="6"/>
  <c r="EG38" i="6"/>
  <c r="AL38" i="6"/>
  <c r="DV38" i="6"/>
  <c r="CJ39" i="24"/>
  <c r="DF39" i="24"/>
  <c r="CR39" i="24"/>
  <c r="CS39" i="24" s="1"/>
  <c r="AC40" i="20" s="1"/>
  <c r="BI40" i="20"/>
  <c r="BI81" i="20" s="1"/>
  <c r="F59" i="27" s="1"/>
  <c r="H59" i="27" s="1"/>
  <c r="CG39" i="24"/>
  <c r="CH39" i="24" s="1"/>
  <c r="AC39" i="20" s="1"/>
  <c r="BI39" i="20"/>
  <c r="BI80" i="20" s="1"/>
  <c r="F58" i="27" s="1"/>
  <c r="H58" i="27" s="1"/>
  <c r="BV39" i="24"/>
  <c r="BW39" i="24" s="1"/>
  <c r="AC38" i="20" s="1"/>
  <c r="BI38" i="20"/>
  <c r="BI79" i="20" s="1"/>
  <c r="F57" i="27" s="1"/>
  <c r="H57" i="27" s="1"/>
  <c r="S39" i="24"/>
  <c r="T39" i="24" s="1"/>
  <c r="AC33" i="20" s="1"/>
  <c r="BI33" i="20"/>
  <c r="BI74" i="20" s="1"/>
  <c r="F52" i="27" s="1"/>
  <c r="H52" i="27" s="1"/>
  <c r="FX45" i="6"/>
  <c r="FM45" i="6"/>
  <c r="FB45" i="6"/>
  <c r="DF39" i="6"/>
  <c r="BJ15" i="20"/>
  <c r="BJ61" i="20" s="1"/>
  <c r="D60" i="27" s="1"/>
  <c r="CZ39" i="6"/>
  <c r="DV39" i="6"/>
  <c r="AL39" i="6"/>
  <c r="ER39" i="6"/>
  <c r="BS39" i="6"/>
  <c r="DK39" i="6"/>
  <c r="BN40" i="24"/>
  <c r="O27" i="6"/>
  <c r="FX27" i="6"/>
  <c r="BH27" i="6"/>
  <c r="AW27" i="6"/>
  <c r="EG27" i="6"/>
  <c r="AL27" i="6"/>
  <c r="DV27" i="6"/>
  <c r="CG22" i="24"/>
  <c r="CH22" i="24" s="1"/>
  <c r="G39" i="20" s="1"/>
  <c r="AQ39" i="20"/>
  <c r="AQ80" i="20" s="1"/>
  <c r="DN22" i="24"/>
  <c r="DO22" i="24" s="1"/>
  <c r="G42" i="20" s="1"/>
  <c r="AQ42" i="20"/>
  <c r="AQ83" i="20" s="1"/>
  <c r="BK22" i="24"/>
  <c r="BL22" i="24" s="1"/>
  <c r="G37" i="20" s="1"/>
  <c r="AQ37" i="20"/>
  <c r="AQ78" i="20" s="1"/>
  <c r="E7" i="24"/>
  <c r="AZ33" i="24"/>
  <c r="BA33" i="24" s="1"/>
  <c r="W36" i="20" s="1"/>
  <c r="CG33" i="24"/>
  <c r="CH33" i="24" s="1"/>
  <c r="W39" i="20" s="1"/>
  <c r="BV33" i="24"/>
  <c r="BW33" i="24" s="1"/>
  <c r="W38" i="20" s="1"/>
  <c r="BK33" i="24"/>
  <c r="BL33" i="24" s="1"/>
  <c r="W37" i="20" s="1"/>
  <c r="AZ43" i="24"/>
  <c r="BA43" i="24" s="1"/>
  <c r="AI36" i="20" s="1"/>
  <c r="AZ46" i="24"/>
  <c r="BA46" i="24" s="1"/>
  <c r="AM36" i="20" s="1"/>
  <c r="CG43" i="24"/>
  <c r="CH43" i="24" s="1"/>
  <c r="AI39" i="20" s="1"/>
  <c r="CG46" i="24"/>
  <c r="CH46" i="24" s="1"/>
  <c r="AM39" i="20" s="1"/>
  <c r="BV43" i="24"/>
  <c r="BW43" i="24" s="1"/>
  <c r="AI38" i="20" s="1"/>
  <c r="BV46" i="24"/>
  <c r="BW46" i="24" s="1"/>
  <c r="AM38" i="20" s="1"/>
  <c r="S43" i="24"/>
  <c r="T43" i="24" s="1"/>
  <c r="AI33" i="20" s="1"/>
  <c r="S46" i="24"/>
  <c r="T46" i="24" s="1"/>
  <c r="AM33" i="20" s="1"/>
  <c r="GB46" i="24"/>
  <c r="GC46" i="24" s="1"/>
  <c r="AM48" i="20" s="1"/>
  <c r="BG22" i="6"/>
  <c r="CY22" i="6"/>
  <c r="AW22" i="6"/>
  <c r="EG22" i="6"/>
  <c r="AL22" i="6"/>
  <c r="DV22" i="6"/>
  <c r="BH33" i="6"/>
  <c r="CO33" i="6"/>
  <c r="CD33" i="6"/>
  <c r="BS33" i="6"/>
  <c r="BH46" i="6"/>
  <c r="CO43" i="6"/>
  <c r="CO46" i="6"/>
  <c r="CD43" i="6"/>
  <c r="BS43" i="6"/>
  <c r="BS46" i="6"/>
  <c r="CJ26" i="24"/>
  <c r="DF26" i="24"/>
  <c r="CJ38" i="24"/>
  <c r="DQ38" i="24"/>
  <c r="BY30" i="24"/>
  <c r="BN30" i="24"/>
  <c r="CU30" i="24"/>
  <c r="AR30" i="24"/>
  <c r="L30" i="6"/>
  <c r="M30" i="6" s="1"/>
  <c r="AG30" i="6" s="1"/>
  <c r="FF38" i="24"/>
  <c r="FG38" i="24" s="1"/>
  <c r="AA46" i="20" s="1"/>
  <c r="BC46" i="20"/>
  <c r="BC87" i="20" s="1"/>
  <c r="BK46" i="20"/>
  <c r="GB38" i="24"/>
  <c r="GC38" i="24" s="1"/>
  <c r="AA48" i="20" s="1"/>
  <c r="BC48" i="20"/>
  <c r="BC89" i="20" s="1"/>
  <c r="BK48" i="20"/>
  <c r="FQ38" i="24"/>
  <c r="FR38" i="24" s="1"/>
  <c r="AA47" i="20" s="1"/>
  <c r="BC47" i="20"/>
  <c r="BC88" i="20" s="1"/>
  <c r="BK47" i="20"/>
  <c r="DC38" i="24"/>
  <c r="DD38" i="24" s="1"/>
  <c r="AA41" i="20" s="1"/>
  <c r="BK41" i="20"/>
  <c r="BC41" i="20"/>
  <c r="BC82" i="20" s="1"/>
  <c r="AV37" i="6"/>
  <c r="EF37" i="6"/>
  <c r="AL37" i="6"/>
  <c r="DV37" i="6"/>
  <c r="AZ30" i="24"/>
  <c r="BA30" i="24" s="1"/>
  <c r="S36" i="20" s="1"/>
  <c r="AO30" i="24"/>
  <c r="AP30" i="24" s="1"/>
  <c r="S35" i="20" s="1"/>
  <c r="AD30" i="24"/>
  <c r="AE30" i="24" s="1"/>
  <c r="S34" i="20" s="1"/>
  <c r="EU30" i="24"/>
  <c r="EV30" i="24" s="1"/>
  <c r="S45" i="20" s="1"/>
  <c r="BG43" i="6"/>
  <c r="EQ43" i="6"/>
  <c r="EF43" i="6"/>
  <c r="DJ43" i="6"/>
  <c r="EQ30" i="6"/>
  <c r="BG30" i="6"/>
  <c r="AW30" i="6"/>
  <c r="EG30" i="6"/>
  <c r="AL30" i="6"/>
  <c r="DV30" i="6"/>
  <c r="DQ21" i="24"/>
  <c r="GE21" i="24"/>
  <c r="BC40" i="24"/>
  <c r="FT22" i="24"/>
  <c r="AR22" i="24"/>
  <c r="V22" i="24"/>
  <c r="O26" i="6"/>
  <c r="AK26" i="6"/>
  <c r="DU26" i="6"/>
  <c r="FB26" i="6"/>
  <c r="AO21" i="24"/>
  <c r="AP21" i="24" s="1"/>
  <c r="E35" i="20" s="1"/>
  <c r="AO35" i="20"/>
  <c r="AO76" i="20" s="1"/>
  <c r="F6" i="27" s="1"/>
  <c r="H6" i="27" s="1"/>
  <c r="AD21" i="24"/>
  <c r="AE21" i="24" s="1"/>
  <c r="E34" i="20" s="1"/>
  <c r="AO34" i="20"/>
  <c r="AO75" i="20" s="1"/>
  <c r="F5" i="27" s="1"/>
  <c r="H5" i="27" s="1"/>
  <c r="D7" i="24"/>
  <c r="DC21" i="24"/>
  <c r="DD21" i="24" s="1"/>
  <c r="E41" i="20" s="1"/>
  <c r="AO41" i="20"/>
  <c r="AO82" i="20" s="1"/>
  <c r="F12" i="27" s="1"/>
  <c r="H12" i="27" s="1"/>
  <c r="EJ21" i="24"/>
  <c r="EK21" i="24" s="1"/>
  <c r="E44" i="20" s="1"/>
  <c r="AO44" i="20"/>
  <c r="AO85" i="20" s="1"/>
  <c r="F15" i="27" s="1"/>
  <c r="H15" i="27" s="1"/>
  <c r="EJ32" i="24"/>
  <c r="EK32" i="24" s="1"/>
  <c r="U44" i="20" s="1"/>
  <c r="DY32" i="24"/>
  <c r="DZ32" i="24" s="1"/>
  <c r="U43" i="20" s="1"/>
  <c r="DN32" i="24"/>
  <c r="DO32" i="24" s="1"/>
  <c r="U42" i="20" s="1"/>
  <c r="DC32" i="24"/>
  <c r="DD32" i="24" s="1"/>
  <c r="U41" i="20" s="1"/>
  <c r="EJ42" i="24"/>
  <c r="EK42" i="24" s="1"/>
  <c r="AG44" i="20" s="1"/>
  <c r="EJ45" i="24"/>
  <c r="EK45" i="24" s="1"/>
  <c r="AK44" i="20" s="1"/>
  <c r="DY42" i="24"/>
  <c r="DZ42" i="24" s="1"/>
  <c r="AG43" i="20" s="1"/>
  <c r="DY45" i="24"/>
  <c r="DZ45" i="24" s="1"/>
  <c r="AK43" i="20" s="1"/>
  <c r="DN42" i="24"/>
  <c r="DO42" i="24" s="1"/>
  <c r="AG42" i="20" s="1"/>
  <c r="DN45" i="24"/>
  <c r="DO45" i="24" s="1"/>
  <c r="AK42" i="20" s="1"/>
  <c r="DC42" i="24"/>
  <c r="DD42" i="24" s="1"/>
  <c r="AG41" i="20" s="1"/>
  <c r="DC45" i="24"/>
  <c r="DD45" i="24" s="1"/>
  <c r="AK41" i="20" s="1"/>
  <c r="AV21" i="6"/>
  <c r="EF21" i="6"/>
  <c r="AK21" i="6"/>
  <c r="DU21" i="6"/>
  <c r="Z21" i="6"/>
  <c r="DJ21" i="6"/>
  <c r="P32" i="6"/>
  <c r="AW32" i="6"/>
  <c r="AL32" i="6"/>
  <c r="AA32" i="6"/>
  <c r="P45" i="6"/>
  <c r="AW45" i="6"/>
  <c r="AL45" i="6"/>
  <c r="AA45" i="6"/>
  <c r="AG29" i="24"/>
  <c r="BB34" i="20"/>
  <c r="BB75" i="20" s="1"/>
  <c r="V29" i="24"/>
  <c r="BB33" i="20"/>
  <c r="BB74" i="20" s="1"/>
  <c r="BC29" i="24"/>
  <c r="BB36" i="20"/>
  <c r="BB77" i="20" s="1"/>
  <c r="FT29" i="24"/>
  <c r="BB47" i="20"/>
  <c r="BB88" i="20" s="1"/>
  <c r="EB29" i="6"/>
  <c r="BB17" i="20"/>
  <c r="BB63" i="20" s="1"/>
  <c r="DQ29" i="6"/>
  <c r="BB16" i="20"/>
  <c r="BB62" i="20" s="1"/>
  <c r="DF29" i="6"/>
  <c r="BB15" i="20"/>
  <c r="BB61" i="20" s="1"/>
  <c r="EM29" i="6"/>
  <c r="BB18" i="20"/>
  <c r="BB64" i="20" s="1"/>
  <c r="AD24" i="24"/>
  <c r="AE24" i="24" s="1"/>
  <c r="I34" i="20" s="1"/>
  <c r="AS34" i="20"/>
  <c r="AS75" i="20" s="1"/>
  <c r="FF24" i="24"/>
  <c r="FG24" i="24" s="1"/>
  <c r="I46" i="20" s="1"/>
  <c r="AS46" i="20"/>
  <c r="AS87" i="20" s="1"/>
  <c r="GB24" i="24"/>
  <c r="GC24" i="24" s="1"/>
  <c r="I48" i="20" s="1"/>
  <c r="AS48" i="20"/>
  <c r="AS89" i="20" s="1"/>
  <c r="BK24" i="24"/>
  <c r="BL24" i="24" s="1"/>
  <c r="I37" i="20" s="1"/>
  <c r="AS37" i="20"/>
  <c r="AS78" i="20" s="1"/>
  <c r="DU25" i="6"/>
  <c r="AL25" i="6"/>
  <c r="CD25" i="6"/>
  <c r="ER25" i="6"/>
  <c r="BS25" i="6"/>
  <c r="EJ29" i="24"/>
  <c r="EK29" i="24" s="1"/>
  <c r="Q44" i="20" s="1"/>
  <c r="BA44" i="20"/>
  <c r="BA85" i="20" s="1"/>
  <c r="DY29" i="24"/>
  <c r="DZ29" i="24" s="1"/>
  <c r="Q43" i="20" s="1"/>
  <c r="BA43" i="20"/>
  <c r="BA84" i="20" s="1"/>
  <c r="DN29" i="24"/>
  <c r="DO29" i="24" s="1"/>
  <c r="Q42" i="20" s="1"/>
  <c r="BA42" i="20"/>
  <c r="BA83" i="20" s="1"/>
  <c r="BK29" i="24"/>
  <c r="BL29" i="24" s="1"/>
  <c r="Q37" i="20" s="1"/>
  <c r="BA37" i="20"/>
  <c r="BA78" i="20" s="1"/>
  <c r="O42" i="6"/>
  <c r="CY42" i="6"/>
  <c r="AV42" i="6"/>
  <c r="Z42" i="6"/>
  <c r="ER29" i="6"/>
  <c r="CO29" i="6"/>
  <c r="FY29" i="6"/>
  <c r="CD29" i="6"/>
  <c r="FN29" i="6"/>
  <c r="FC29" i="6"/>
  <c r="CJ21" i="24"/>
  <c r="DF21" i="24"/>
  <c r="FI40" i="24"/>
  <c r="EX22" i="24"/>
  <c r="CR27" i="24"/>
  <c r="CS27" i="24" s="1"/>
  <c r="O40" i="20" s="1"/>
  <c r="BG40" i="20"/>
  <c r="BG81" i="20" s="1"/>
  <c r="AY40" i="20"/>
  <c r="AY81" i="20" s="1"/>
  <c r="CG27" i="24"/>
  <c r="CH27" i="24" s="1"/>
  <c r="O39" i="20" s="1"/>
  <c r="BG39" i="20"/>
  <c r="BG80" i="20" s="1"/>
  <c r="AY39" i="20"/>
  <c r="AY80" i="20" s="1"/>
  <c r="BV27" i="24"/>
  <c r="BW27" i="24" s="1"/>
  <c r="O38" i="20" s="1"/>
  <c r="AY38" i="20"/>
  <c r="AY79" i="20" s="1"/>
  <c r="BG38" i="20"/>
  <c r="BG79" i="20" s="1"/>
  <c r="S27" i="24"/>
  <c r="T27" i="24" s="1"/>
  <c r="O33" i="20" s="1"/>
  <c r="BG33" i="20"/>
  <c r="BG74" i="20" s="1"/>
  <c r="AY33" i="20"/>
  <c r="AY74" i="20" s="1"/>
  <c r="AR25" i="6"/>
  <c r="AV9" i="20"/>
  <c r="BC25" i="24"/>
  <c r="AV36" i="20"/>
  <c r="AV77" i="20" s="1"/>
  <c r="BY25" i="24"/>
  <c r="AV38" i="20"/>
  <c r="AV79" i="20" s="1"/>
  <c r="BN25" i="24"/>
  <c r="AV37" i="20"/>
  <c r="AV78" i="20" s="1"/>
  <c r="FT25" i="24"/>
  <c r="AV47" i="20"/>
  <c r="AV88" i="20" s="1"/>
  <c r="BY25" i="6"/>
  <c r="AV12" i="20"/>
  <c r="AV53" i="20" s="1"/>
  <c r="DF25" i="6"/>
  <c r="AV15" i="20"/>
  <c r="AV56" i="20" s="1"/>
  <c r="EM25" i="6"/>
  <c r="AV18" i="20"/>
  <c r="AV59" i="20" s="1"/>
  <c r="DN25" i="24"/>
  <c r="DO25" i="24" s="1"/>
  <c r="K42" i="20" s="1"/>
  <c r="AU42" i="20"/>
  <c r="AU83" i="20" s="1"/>
  <c r="EJ25" i="24"/>
  <c r="EK25" i="24" s="1"/>
  <c r="K44" i="20" s="1"/>
  <c r="AU44" i="20"/>
  <c r="AU85" i="20" s="1"/>
  <c r="DY25" i="24"/>
  <c r="DZ25" i="24" s="1"/>
  <c r="K43" i="20" s="1"/>
  <c r="AU43" i="20"/>
  <c r="AU84" i="20" s="1"/>
  <c r="BK25" i="24"/>
  <c r="BL25" i="24" s="1"/>
  <c r="K37" i="20" s="1"/>
  <c r="AU37" i="20"/>
  <c r="AU78" i="20" s="1"/>
  <c r="S24" i="6"/>
  <c r="T24" i="6" s="1"/>
  <c r="I7" i="20" s="1"/>
  <c r="AS7" i="20"/>
  <c r="CO24" i="6"/>
  <c r="AL24" i="6"/>
  <c r="DV24" i="6"/>
  <c r="BS24" i="6"/>
  <c r="EB39" i="24"/>
  <c r="EX39" i="24"/>
  <c r="CR40" i="24"/>
  <c r="CS40" i="24" s="1"/>
  <c r="AE40" i="20" s="1"/>
  <c r="CG40" i="24"/>
  <c r="CH40" i="24" s="1"/>
  <c r="AE39" i="20" s="1"/>
  <c r="BV40" i="24"/>
  <c r="BW40" i="24" s="1"/>
  <c r="AE38" i="20" s="1"/>
  <c r="S40" i="24"/>
  <c r="T40" i="24" s="1"/>
  <c r="AE33" i="20" s="1"/>
  <c r="BG40" i="6"/>
  <c r="AL40" i="6"/>
  <c r="ER40" i="6"/>
  <c r="CC40" i="6"/>
  <c r="FM40" i="6"/>
  <c r="FB40" i="6"/>
  <c r="DK40" i="6"/>
  <c r="EJ26" i="24"/>
  <c r="EK26" i="24" s="1"/>
  <c r="M44" i="20" s="1"/>
  <c r="AW44" i="20"/>
  <c r="AW85" i="20" s="1"/>
  <c r="F31" i="27" s="1"/>
  <c r="H31" i="27" s="1"/>
  <c r="DY26" i="24"/>
  <c r="DZ26" i="24" s="1"/>
  <c r="M43" i="20" s="1"/>
  <c r="AW43" i="20"/>
  <c r="AW84" i="20" s="1"/>
  <c r="F30" i="27" s="1"/>
  <c r="H30" i="27" s="1"/>
  <c r="DN26" i="24"/>
  <c r="DO26" i="24" s="1"/>
  <c r="M42" i="20" s="1"/>
  <c r="AW42" i="20"/>
  <c r="AW83" i="20" s="1"/>
  <c r="F29" i="27" s="1"/>
  <c r="H29" i="27" s="1"/>
  <c r="BK26" i="24"/>
  <c r="BL26" i="24" s="1"/>
  <c r="M37" i="20" s="1"/>
  <c r="AW37" i="20"/>
  <c r="AW78" i="20" s="1"/>
  <c r="F24" i="27" s="1"/>
  <c r="H24" i="27" s="1"/>
  <c r="FX32" i="6"/>
  <c r="CN32" i="6"/>
  <c r="DU32" i="6"/>
  <c r="DJ32" i="6"/>
  <c r="V24" i="24"/>
  <c r="AT33" i="20"/>
  <c r="AT74" i="20" s="1"/>
  <c r="GE24" i="24"/>
  <c r="AT48" i="20"/>
  <c r="AT89" i="20" s="1"/>
  <c r="DQ24" i="24"/>
  <c r="AT42" i="20"/>
  <c r="AT83" i="20" s="1"/>
  <c r="CJ24" i="24"/>
  <c r="AT39" i="20"/>
  <c r="AT80" i="20" s="1"/>
  <c r="V24" i="6"/>
  <c r="AT7" i="20"/>
  <c r="AD37" i="24"/>
  <c r="AE37" i="24" s="1"/>
  <c r="Y34" i="20" s="1"/>
  <c r="BE34" i="20"/>
  <c r="BE75" i="20" s="1"/>
  <c r="F37" i="27" s="1"/>
  <c r="H37" i="27" s="1"/>
  <c r="FF37" i="24"/>
  <c r="FG37" i="24" s="1"/>
  <c r="Y46" i="20" s="1"/>
  <c r="BE46" i="20"/>
  <c r="BE87" i="20" s="1"/>
  <c r="F49" i="27" s="1"/>
  <c r="H49" i="27" s="1"/>
  <c r="CR37" i="24"/>
  <c r="CS37" i="24" s="1"/>
  <c r="Y40" i="20" s="1"/>
  <c r="BE40" i="20"/>
  <c r="BE81" i="20" s="1"/>
  <c r="F43" i="27" s="1"/>
  <c r="H43" i="27" s="1"/>
  <c r="EU37" i="24"/>
  <c r="EV37" i="24" s="1"/>
  <c r="Y45" i="20" s="1"/>
  <c r="BE45" i="20"/>
  <c r="BE86" i="20" s="1"/>
  <c r="F48" i="27" s="1"/>
  <c r="H48" i="27" s="1"/>
  <c r="FX38" i="6"/>
  <c r="CN38" i="6"/>
  <c r="CZ38" i="6"/>
  <c r="CC38" i="6"/>
  <c r="FM38" i="6"/>
  <c r="BR38" i="6"/>
  <c r="FB38" i="6"/>
  <c r="DK38" i="6"/>
  <c r="EJ39" i="24"/>
  <c r="EK39" i="24" s="1"/>
  <c r="AC44" i="20" s="1"/>
  <c r="BI44" i="20"/>
  <c r="BI85" i="20" s="1"/>
  <c r="F63" i="27" s="1"/>
  <c r="H63" i="27" s="1"/>
  <c r="DY39" i="24"/>
  <c r="DZ39" i="24" s="1"/>
  <c r="AC43" i="20" s="1"/>
  <c r="BI43" i="20"/>
  <c r="BI84" i="20" s="1"/>
  <c r="F62" i="27" s="1"/>
  <c r="H62" i="27" s="1"/>
  <c r="DN39" i="24"/>
  <c r="DO39" i="24" s="1"/>
  <c r="AC42" i="20" s="1"/>
  <c r="BI42" i="20"/>
  <c r="BI83" i="20" s="1"/>
  <c r="F61" i="27" s="1"/>
  <c r="H61" i="27" s="1"/>
  <c r="BK39" i="24"/>
  <c r="BL39" i="24" s="1"/>
  <c r="AC37" i="20" s="1"/>
  <c r="BI37" i="20"/>
  <c r="BI78" i="20" s="1"/>
  <c r="F56" i="27" s="1"/>
  <c r="H56" i="27" s="1"/>
  <c r="EX39" i="6"/>
  <c r="BJ19" i="20"/>
  <c r="BJ65" i="20" s="1"/>
  <c r="D64" i="27" s="1"/>
  <c r="DQ39" i="6"/>
  <c r="BJ16" i="20"/>
  <c r="BJ62" i="20" s="1"/>
  <c r="D61" i="27" s="1"/>
  <c r="P39" i="6"/>
  <c r="AR39" i="6"/>
  <c r="BJ9" i="20"/>
  <c r="BJ55" i="20" s="1"/>
  <c r="D54" i="27" s="1"/>
  <c r="EM39" i="6"/>
  <c r="BJ18" i="20"/>
  <c r="BJ64" i="20" s="1"/>
  <c r="D63" i="27" s="1"/>
  <c r="BY39" i="6"/>
  <c r="BJ12" i="20"/>
  <c r="BJ58" i="20" s="1"/>
  <c r="D57" i="27" s="1"/>
  <c r="FI39" i="6"/>
  <c r="BJ20" i="20"/>
  <c r="BJ66" i="20" s="1"/>
  <c r="D65" i="27" s="1"/>
  <c r="CU39" i="6"/>
  <c r="BJ14" i="20"/>
  <c r="BJ60" i="20" s="1"/>
  <c r="D59" i="27" s="1"/>
  <c r="FC39" i="6"/>
  <c r="BY40" i="24"/>
  <c r="CJ22" i="24"/>
  <c r="BN22" i="24"/>
  <c r="CU27" i="6"/>
  <c r="BH14" i="20"/>
  <c r="BH60" i="20" s="1"/>
  <c r="AZ14" i="20"/>
  <c r="AZ60" i="20" s="1"/>
  <c r="CZ27" i="6"/>
  <c r="CC27" i="6"/>
  <c r="FM27" i="6"/>
  <c r="BR27" i="6"/>
  <c r="FB27" i="6"/>
  <c r="DK27" i="6"/>
  <c r="EX37" i="24"/>
  <c r="EM37" i="24"/>
  <c r="DY22" i="24"/>
  <c r="DZ22" i="24" s="1"/>
  <c r="G43" i="20" s="1"/>
  <c r="AQ43" i="20"/>
  <c r="AQ84" i="20" s="1"/>
  <c r="FF22" i="24"/>
  <c r="FG22" i="24" s="1"/>
  <c r="G46" i="20" s="1"/>
  <c r="AQ46" i="20"/>
  <c r="AQ87" i="20" s="1"/>
  <c r="DC22" i="24"/>
  <c r="DD22" i="24" s="1"/>
  <c r="G41" i="20" s="1"/>
  <c r="AQ41" i="20"/>
  <c r="AQ82" i="20" s="1"/>
  <c r="AZ22" i="24"/>
  <c r="BA22" i="24" s="1"/>
  <c r="G36" i="20" s="1"/>
  <c r="AQ36" i="20"/>
  <c r="AQ77" i="20" s="1"/>
  <c r="CR33" i="24"/>
  <c r="CS33" i="24" s="1"/>
  <c r="W40" i="20" s="1"/>
  <c r="FQ33" i="24"/>
  <c r="FR33" i="24" s="1"/>
  <c r="W47" i="20" s="1"/>
  <c r="DN33" i="24"/>
  <c r="DO33" i="24" s="1"/>
  <c r="W42" i="20" s="1"/>
  <c r="DC33" i="24"/>
  <c r="DD33" i="24" s="1"/>
  <c r="W41" i="20" s="1"/>
  <c r="CR43" i="24"/>
  <c r="CS43" i="24" s="1"/>
  <c r="AI40" i="20" s="1"/>
  <c r="CR46" i="24"/>
  <c r="CS46" i="24" s="1"/>
  <c r="AM40" i="20" s="1"/>
  <c r="DY43" i="24"/>
  <c r="DZ43" i="24" s="1"/>
  <c r="AI43" i="20" s="1"/>
  <c r="DY46" i="24"/>
  <c r="DZ46" i="24" s="1"/>
  <c r="AM43" i="20" s="1"/>
  <c r="DN43" i="24"/>
  <c r="DO43" i="24" s="1"/>
  <c r="AI42" i="20" s="1"/>
  <c r="DN46" i="24"/>
  <c r="DO46" i="24" s="1"/>
  <c r="AM42" i="20" s="1"/>
  <c r="BK43" i="24"/>
  <c r="BL43" i="24" s="1"/>
  <c r="AI37" i="20" s="1"/>
  <c r="BK46" i="24"/>
  <c r="BL46" i="24" s="1"/>
  <c r="AM37" i="20" s="1"/>
  <c r="EX22" i="6"/>
  <c r="AR19" i="20"/>
  <c r="AR60" i="20" s="1"/>
  <c r="EM22" i="6"/>
  <c r="AR18" i="20"/>
  <c r="AR59" i="20" s="1"/>
  <c r="ER22" i="6"/>
  <c r="CC22" i="6"/>
  <c r="FM22" i="6"/>
  <c r="BR22" i="6"/>
  <c r="FB22" i="6"/>
  <c r="DK22" i="6"/>
  <c r="CZ33" i="6"/>
  <c r="EG33" i="6"/>
  <c r="DV33" i="6"/>
  <c r="DK33" i="6"/>
  <c r="DC43" i="6"/>
  <c r="DD43" i="6" s="1"/>
  <c r="AI15" i="20" s="1"/>
  <c r="CZ46" i="6"/>
  <c r="EG46" i="6"/>
  <c r="DV43" i="6"/>
  <c r="DV46" i="6"/>
  <c r="DQ30" i="24"/>
  <c r="DF30" i="24"/>
  <c r="EM30" i="24"/>
  <c r="CJ30" i="24"/>
  <c r="V30" i="6"/>
  <c r="AD38" i="24"/>
  <c r="AE38" i="24" s="1"/>
  <c r="AA34" i="20" s="1"/>
  <c r="BC34" i="20"/>
  <c r="BC75" i="20" s="1"/>
  <c r="BK34" i="20"/>
  <c r="AZ38" i="24"/>
  <c r="BA38" i="24" s="1"/>
  <c r="AA36" i="20" s="1"/>
  <c r="BK36" i="20"/>
  <c r="BC36" i="20"/>
  <c r="BC77" i="20" s="1"/>
  <c r="AO38" i="24"/>
  <c r="AP38" i="24" s="1"/>
  <c r="AA35" i="20" s="1"/>
  <c r="BC35" i="20"/>
  <c r="BC76" i="20" s="1"/>
  <c r="BK35" i="20"/>
  <c r="EU38" i="24"/>
  <c r="EV38" i="24" s="1"/>
  <c r="AA45" i="20" s="1"/>
  <c r="BK45" i="20"/>
  <c r="BC45" i="20"/>
  <c r="BC86" i="20" s="1"/>
  <c r="EQ37" i="6"/>
  <c r="BG37" i="6"/>
  <c r="CZ37" i="6"/>
  <c r="CC37" i="6"/>
  <c r="FM37" i="6"/>
  <c r="BR37" i="6"/>
  <c r="FB37" i="6"/>
  <c r="DK37" i="6"/>
  <c r="AR39" i="24"/>
  <c r="BN39" i="24"/>
  <c r="CR30" i="24"/>
  <c r="CS30" i="24" s="1"/>
  <c r="S40" i="20" s="1"/>
  <c r="CG30" i="24"/>
  <c r="CH30" i="24" s="1"/>
  <c r="S39" i="20" s="1"/>
  <c r="BV30" i="24"/>
  <c r="BW30" i="24" s="1"/>
  <c r="S38" i="20" s="1"/>
  <c r="S30" i="24"/>
  <c r="T30" i="24" s="1"/>
  <c r="S33" i="20" s="1"/>
  <c r="FX43" i="6"/>
  <c r="FB43" i="6"/>
  <c r="FX30" i="6"/>
  <c r="CN30" i="6"/>
  <c r="CZ30" i="6"/>
  <c r="CC30" i="6"/>
  <c r="FM30" i="6"/>
  <c r="BR30" i="6"/>
  <c r="DK30" i="6"/>
  <c r="V40" i="24"/>
  <c r="EQ26" i="6"/>
  <c r="BR26" i="6"/>
  <c r="DJ26" i="6"/>
  <c r="AV26" i="6"/>
  <c r="EF26" i="6"/>
  <c r="FI37" i="24"/>
  <c r="AG37" i="24"/>
  <c r="CG21" i="24"/>
  <c r="CH21" i="24" s="1"/>
  <c r="E39" i="20" s="1"/>
  <c r="AO39" i="20"/>
  <c r="AO80" i="20" s="1"/>
  <c r="F10" i="27" s="1"/>
  <c r="H10" i="27" s="1"/>
  <c r="BV21" i="24"/>
  <c r="BW21" i="24" s="1"/>
  <c r="E38" i="20" s="1"/>
  <c r="AO38" i="20"/>
  <c r="AO79" i="20" s="1"/>
  <c r="F9" i="27" s="1"/>
  <c r="H9" i="27" s="1"/>
  <c r="EU21" i="24"/>
  <c r="EV21" i="24" s="1"/>
  <c r="E45" i="20" s="1"/>
  <c r="AO45" i="20"/>
  <c r="AO86" i="20" s="1"/>
  <c r="F16" i="27" s="1"/>
  <c r="H16" i="27" s="1"/>
  <c r="GB21" i="24"/>
  <c r="GC21" i="24" s="1"/>
  <c r="E48" i="20" s="1"/>
  <c r="AO48" i="20"/>
  <c r="AO89" i="20" s="1"/>
  <c r="F19" i="27" s="1"/>
  <c r="H19" i="27" s="1"/>
  <c r="GB32" i="24"/>
  <c r="GC32" i="24" s="1"/>
  <c r="U48" i="20" s="1"/>
  <c r="FQ32" i="24"/>
  <c r="FR32" i="24" s="1"/>
  <c r="U47" i="20" s="1"/>
  <c r="FF32" i="24"/>
  <c r="FG32" i="24" s="1"/>
  <c r="U46" i="20" s="1"/>
  <c r="EU32" i="24"/>
  <c r="EV32" i="24" s="1"/>
  <c r="U45" i="20" s="1"/>
  <c r="GB42" i="24"/>
  <c r="GC42" i="24" s="1"/>
  <c r="AG48" i="20" s="1"/>
  <c r="GB45" i="24"/>
  <c r="GC45" i="24" s="1"/>
  <c r="AK48" i="20" s="1"/>
  <c r="FQ42" i="24"/>
  <c r="FR42" i="24" s="1"/>
  <c r="AG47" i="20" s="1"/>
  <c r="FQ45" i="24"/>
  <c r="FR45" i="24" s="1"/>
  <c r="AK47" i="20" s="1"/>
  <c r="FF42" i="24"/>
  <c r="FG42" i="24" s="1"/>
  <c r="AG46" i="20" s="1"/>
  <c r="FF45" i="24"/>
  <c r="FG45" i="24" s="1"/>
  <c r="AK46" i="20" s="1"/>
  <c r="EU42" i="24"/>
  <c r="EV42" i="24" s="1"/>
  <c r="AG45" i="20" s="1"/>
  <c r="EU45" i="24"/>
  <c r="EV45" i="24" s="1"/>
  <c r="AK45" i="20" s="1"/>
  <c r="O21" i="6"/>
  <c r="BG21" i="6"/>
  <c r="BH45" i="6"/>
  <c r="CO45" i="6"/>
  <c r="CG42" i="6"/>
  <c r="CH42" i="6" s="1"/>
  <c r="AG13" i="20" s="1"/>
  <c r="CD45" i="6"/>
  <c r="BS45" i="6"/>
  <c r="AR26" i="24"/>
  <c r="BN26" i="24"/>
  <c r="AR38" i="24"/>
  <c r="BY38" i="24"/>
  <c r="BY29" i="24"/>
  <c r="BB38" i="20"/>
  <c r="BB79" i="20" s="1"/>
  <c r="BN29" i="24"/>
  <c r="BB37" i="20"/>
  <c r="BB78" i="20" s="1"/>
  <c r="CU29" i="24"/>
  <c r="BB40" i="20"/>
  <c r="BB81" i="20" s="1"/>
  <c r="AR29" i="24"/>
  <c r="BB35" i="20"/>
  <c r="BB76" i="20" s="1"/>
  <c r="FT29" i="6"/>
  <c r="BB21" i="20"/>
  <c r="BB67" i="20" s="1"/>
  <c r="FI29" i="6"/>
  <c r="BB20" i="20"/>
  <c r="BB66" i="20" s="1"/>
  <c r="EX29" i="6"/>
  <c r="BB19" i="20"/>
  <c r="BB65" i="20" s="1"/>
  <c r="GE29" i="6"/>
  <c r="BB22" i="20"/>
  <c r="BB68" i="20" s="1"/>
  <c r="DN24" i="24"/>
  <c r="DO24" i="24" s="1"/>
  <c r="I42" i="20" s="1"/>
  <c r="AS42" i="20"/>
  <c r="AS83" i="20" s="1"/>
  <c r="CG24" i="24"/>
  <c r="CH24" i="24" s="1"/>
  <c r="I39" i="20" s="1"/>
  <c r="AS39" i="20"/>
  <c r="AS80" i="20" s="1"/>
  <c r="FQ24" i="24"/>
  <c r="FR24" i="24" s="1"/>
  <c r="I47" i="20" s="1"/>
  <c r="AS47" i="20"/>
  <c r="AS88" i="20" s="1"/>
  <c r="DC24" i="24"/>
  <c r="DD24" i="24" s="1"/>
  <c r="I41" i="20" s="1"/>
  <c r="AS41" i="20"/>
  <c r="AS82" i="20" s="1"/>
  <c r="P25" i="6"/>
  <c r="AZ25" i="6"/>
  <c r="BA25" i="6" s="1"/>
  <c r="K10" i="20" s="1"/>
  <c r="AU10" i="20"/>
  <c r="BH25" i="6"/>
  <c r="BC39" i="24"/>
  <c r="AG39" i="24"/>
  <c r="GB29" i="24"/>
  <c r="GC29" i="24" s="1"/>
  <c r="Q48" i="20" s="1"/>
  <c r="BA48" i="20"/>
  <c r="BA89" i="20" s="1"/>
  <c r="FQ29" i="24"/>
  <c r="FR29" i="24" s="1"/>
  <c r="Q47" i="20" s="1"/>
  <c r="BA47" i="20"/>
  <c r="BA88" i="20" s="1"/>
  <c r="FF29" i="24"/>
  <c r="FG29" i="24" s="1"/>
  <c r="Q46" i="20" s="1"/>
  <c r="BA46" i="20"/>
  <c r="BA87" i="20" s="1"/>
  <c r="DC29" i="24"/>
  <c r="DD29" i="24" s="1"/>
  <c r="Q41" i="20" s="1"/>
  <c r="BA41" i="20"/>
  <c r="BA82" i="20" s="1"/>
  <c r="AK42" i="6"/>
  <c r="DU42" i="6"/>
  <c r="CN42" i="6"/>
  <c r="BR42" i="6"/>
  <c r="P29" i="6"/>
  <c r="AA29" i="6"/>
  <c r="EB40" i="24"/>
  <c r="EJ27" i="24"/>
  <c r="EK27" i="24" s="1"/>
  <c r="O44" i="20" s="1"/>
  <c r="BG44" i="20"/>
  <c r="BG85" i="20" s="1"/>
  <c r="AY44" i="20"/>
  <c r="AY85" i="20" s="1"/>
  <c r="DY27" i="24"/>
  <c r="DZ27" i="24" s="1"/>
  <c r="O43" i="20" s="1"/>
  <c r="AY43" i="20"/>
  <c r="AY84" i="20" s="1"/>
  <c r="BG43" i="20"/>
  <c r="BG84" i="20" s="1"/>
  <c r="DN27" i="24"/>
  <c r="DO27" i="24" s="1"/>
  <c r="O42" i="20" s="1"/>
  <c r="BG42" i="20"/>
  <c r="BG83" i="20" s="1"/>
  <c r="AY42" i="20"/>
  <c r="AY83" i="20" s="1"/>
  <c r="BK27" i="24"/>
  <c r="BL27" i="24" s="1"/>
  <c r="O37" i="20" s="1"/>
  <c r="BG37" i="20"/>
  <c r="BG78" i="20" s="1"/>
  <c r="AY37" i="20"/>
  <c r="AY78" i="20" s="1"/>
  <c r="CU25" i="24"/>
  <c r="AV40" i="20"/>
  <c r="AV81" i="20" s="1"/>
  <c r="DQ25" i="24"/>
  <c r="AV42" i="20"/>
  <c r="AV83" i="20" s="1"/>
  <c r="DF25" i="24"/>
  <c r="AV41" i="20"/>
  <c r="AV82" i="20" s="1"/>
  <c r="AR25" i="24"/>
  <c r="AV35" i="20"/>
  <c r="AV76" i="20" s="1"/>
  <c r="CJ25" i="6"/>
  <c r="AV13" i="20"/>
  <c r="AV54" i="20" s="1"/>
  <c r="EX25" i="6"/>
  <c r="AV19" i="20"/>
  <c r="AV60" i="20" s="1"/>
  <c r="FT25" i="6"/>
  <c r="AV21" i="20"/>
  <c r="AV62" i="20" s="1"/>
  <c r="GE25" i="6"/>
  <c r="AV22" i="20"/>
  <c r="AV63" i="20" s="1"/>
  <c r="FF25" i="24"/>
  <c r="FG25" i="24" s="1"/>
  <c r="K46" i="20" s="1"/>
  <c r="AU46" i="20"/>
  <c r="AU87" i="20" s="1"/>
  <c r="GB25" i="24"/>
  <c r="GC25" i="24" s="1"/>
  <c r="K48" i="20" s="1"/>
  <c r="AU48" i="20"/>
  <c r="AU89" i="20" s="1"/>
  <c r="FQ25" i="24"/>
  <c r="FR25" i="24" s="1"/>
  <c r="K47" i="20" s="1"/>
  <c r="AU47" i="20"/>
  <c r="AU88" i="20" s="1"/>
  <c r="DC25" i="24"/>
  <c r="DD25" i="24" s="1"/>
  <c r="K41" i="20" s="1"/>
  <c r="AU41" i="20"/>
  <c r="AU82" i="20" s="1"/>
  <c r="BK24" i="6"/>
  <c r="BL24" i="6" s="1"/>
  <c r="I11" i="20" s="1"/>
  <c r="AS11" i="20"/>
  <c r="EJ24" i="6"/>
  <c r="EK24" i="6" s="1"/>
  <c r="I18" i="20" s="1"/>
  <c r="AS18" i="20"/>
  <c r="AS59" i="20" s="1"/>
  <c r="EJ40" i="24"/>
  <c r="EK40" i="24" s="1"/>
  <c r="AE44" i="20" s="1"/>
  <c r="DY40" i="24"/>
  <c r="DZ40" i="24" s="1"/>
  <c r="AE43" i="20" s="1"/>
  <c r="DN40" i="24"/>
  <c r="DO40" i="24" s="1"/>
  <c r="AE42" i="20" s="1"/>
  <c r="BK40" i="24"/>
  <c r="BL40" i="24" s="1"/>
  <c r="AE37" i="20" s="1"/>
  <c r="CN40" i="6"/>
  <c r="FX40" i="6"/>
  <c r="GB26" i="24"/>
  <c r="GC26" i="24" s="1"/>
  <c r="M48" i="20" s="1"/>
  <c r="AW48" i="20"/>
  <c r="AW89" i="20" s="1"/>
  <c r="F35" i="27" s="1"/>
  <c r="H35" i="27" s="1"/>
  <c r="FQ26" i="24"/>
  <c r="FR26" i="24" s="1"/>
  <c r="M47" i="20" s="1"/>
  <c r="AW47" i="20"/>
  <c r="AW88" i="20" s="1"/>
  <c r="F34" i="27" s="1"/>
  <c r="H34" i="27" s="1"/>
  <c r="FF26" i="24"/>
  <c r="FG26" i="24" s="1"/>
  <c r="M46" i="20" s="1"/>
  <c r="AW46" i="20"/>
  <c r="AW87" i="20" s="1"/>
  <c r="F33" i="27" s="1"/>
  <c r="H33" i="27" s="1"/>
  <c r="DC26" i="24"/>
  <c r="DD26" i="24" s="1"/>
  <c r="M41" i="20" s="1"/>
  <c r="AW41" i="20"/>
  <c r="AW82" i="20" s="1"/>
  <c r="F28" i="27" s="1"/>
  <c r="H28" i="27" s="1"/>
  <c r="FM32" i="6"/>
  <c r="FB32" i="6"/>
  <c r="GE26" i="24"/>
  <c r="FI26" i="24"/>
  <c r="AG24" i="24"/>
  <c r="AT34" i="20"/>
  <c r="AT75" i="20" s="1"/>
  <c r="DF24" i="24"/>
  <c r="AT41" i="20"/>
  <c r="AT82" i="20" s="1"/>
  <c r="FI24" i="24"/>
  <c r="AT46" i="20"/>
  <c r="AT87" i="20" s="1"/>
  <c r="EB24" i="24"/>
  <c r="AT43" i="20"/>
  <c r="AT84" i="20" s="1"/>
  <c r="BN24" i="6"/>
  <c r="AT11" i="20"/>
  <c r="AO37" i="24"/>
  <c r="AP37" i="24" s="1"/>
  <c r="Y35" i="20" s="1"/>
  <c r="BE35" i="20"/>
  <c r="BE76" i="20" s="1"/>
  <c r="F38" i="27" s="1"/>
  <c r="H38" i="27" s="1"/>
  <c r="BV37" i="24"/>
  <c r="BW37" i="24" s="1"/>
  <c r="Y38" i="20" s="1"/>
  <c r="BE38" i="20"/>
  <c r="BE79" i="20" s="1"/>
  <c r="F41" i="27" s="1"/>
  <c r="H41" i="27" s="1"/>
  <c r="EJ37" i="24"/>
  <c r="EK37" i="24" s="1"/>
  <c r="Y44" i="20" s="1"/>
  <c r="BE44" i="20"/>
  <c r="BE85" i="20" s="1"/>
  <c r="F47" i="27" s="1"/>
  <c r="H47" i="27" s="1"/>
  <c r="S37" i="24"/>
  <c r="T37" i="24" s="1"/>
  <c r="Y33" i="20" s="1"/>
  <c r="BE33" i="20"/>
  <c r="BE74" i="20" s="1"/>
  <c r="F36" i="27" s="1"/>
  <c r="H36" i="27" s="1"/>
  <c r="V38" i="6"/>
  <c r="BL7" i="20"/>
  <c r="BD7" i="20"/>
  <c r="BD53" i="20" s="1"/>
  <c r="DF38" i="6"/>
  <c r="BL15" i="20"/>
  <c r="BD15" i="20"/>
  <c r="BD61" i="20" s="1"/>
  <c r="EM39" i="24"/>
  <c r="DQ39" i="24"/>
  <c r="GB39" i="24"/>
  <c r="GC39" i="24" s="1"/>
  <c r="AC48" i="20" s="1"/>
  <c r="BI48" i="20"/>
  <c r="BI89" i="20" s="1"/>
  <c r="F67" i="27" s="1"/>
  <c r="H67" i="27" s="1"/>
  <c r="FQ39" i="24"/>
  <c r="FR39" i="24" s="1"/>
  <c r="AC47" i="20" s="1"/>
  <c r="BI47" i="20"/>
  <c r="BI88" i="20" s="1"/>
  <c r="F66" i="27" s="1"/>
  <c r="H66" i="27" s="1"/>
  <c r="FF39" i="24"/>
  <c r="FG39" i="24" s="1"/>
  <c r="AC46" i="20" s="1"/>
  <c r="BI46" i="20"/>
  <c r="BI87" i="20" s="1"/>
  <c r="F65" i="27" s="1"/>
  <c r="H65" i="27" s="1"/>
  <c r="DC39" i="24"/>
  <c r="DD39" i="24" s="1"/>
  <c r="AC41" i="20" s="1"/>
  <c r="BI41" i="20"/>
  <c r="BI82" i="20" s="1"/>
  <c r="F60" i="27" s="1"/>
  <c r="H60" i="27" s="1"/>
  <c r="BC39" i="6"/>
  <c r="BJ10" i="20"/>
  <c r="BJ56" i="20" s="1"/>
  <c r="D55" i="27" s="1"/>
  <c r="BN39" i="6"/>
  <c r="BJ11" i="20"/>
  <c r="BJ57" i="20" s="1"/>
  <c r="D56" i="27" s="1"/>
  <c r="BH39" i="6"/>
  <c r="AW39" i="6"/>
  <c r="FT39" i="6"/>
  <c r="BJ21" i="20"/>
  <c r="BJ67" i="20" s="1"/>
  <c r="D66" i="27" s="1"/>
  <c r="CD39" i="6"/>
  <c r="FN39" i="6"/>
  <c r="GE39" i="6"/>
  <c r="BJ22" i="20"/>
  <c r="BJ68" i="20" s="1"/>
  <c r="D67" i="27" s="1"/>
  <c r="BN27" i="6"/>
  <c r="BH11" i="20"/>
  <c r="BH57" i="20" s="1"/>
  <c r="AZ11" i="20"/>
  <c r="AZ57" i="20" s="1"/>
  <c r="EX27" i="6"/>
  <c r="BH19" i="20"/>
  <c r="BH65" i="20" s="1"/>
  <c r="AZ19" i="20"/>
  <c r="AZ65" i="20" s="1"/>
  <c r="ER27" i="6"/>
  <c r="CR27" i="6"/>
  <c r="CS27" i="6" s="1"/>
  <c r="O14" i="20" s="1"/>
  <c r="BG14" i="20"/>
  <c r="BG60" i="20" s="1"/>
  <c r="AY14" i="20"/>
  <c r="AY60" i="20" s="1"/>
  <c r="AD22" i="24"/>
  <c r="AE22" i="24" s="1"/>
  <c r="G34" i="20" s="1"/>
  <c r="AQ34" i="20"/>
  <c r="AQ75" i="20" s="1"/>
  <c r="FQ22" i="24"/>
  <c r="FR22" i="24" s="1"/>
  <c r="G47" i="20" s="1"/>
  <c r="AQ47" i="20"/>
  <c r="AQ88" i="20" s="1"/>
  <c r="CR22" i="24"/>
  <c r="CS22" i="24" s="1"/>
  <c r="G40" i="20" s="1"/>
  <c r="AQ40" i="20"/>
  <c r="AQ81" i="20" s="1"/>
  <c r="FF33" i="24"/>
  <c r="FG33" i="24" s="1"/>
  <c r="W46" i="20" s="1"/>
  <c r="GB33" i="24"/>
  <c r="GC33" i="24" s="1"/>
  <c r="W48" i="20" s="1"/>
  <c r="EU22" i="24"/>
  <c r="EV22" i="24" s="1"/>
  <c r="G45" i="20" s="1"/>
  <c r="AQ45" i="20"/>
  <c r="AQ86" i="20" s="1"/>
  <c r="DY33" i="24"/>
  <c r="DZ33" i="24" s="1"/>
  <c r="W43" i="20" s="1"/>
  <c r="EJ43" i="24"/>
  <c r="EK43" i="24" s="1"/>
  <c r="AI44" i="20" s="1"/>
  <c r="EJ46" i="24"/>
  <c r="EK46" i="24" s="1"/>
  <c r="AM44" i="20" s="1"/>
  <c r="FQ43" i="24"/>
  <c r="FR43" i="24" s="1"/>
  <c r="AI47" i="20" s="1"/>
  <c r="FQ46" i="24"/>
  <c r="FR46" i="24" s="1"/>
  <c r="AM47" i="20" s="1"/>
  <c r="FF43" i="24"/>
  <c r="FG43" i="24" s="1"/>
  <c r="AI46" i="20" s="1"/>
  <c r="FF46" i="24"/>
  <c r="FG46" i="24" s="1"/>
  <c r="AM46" i="20" s="1"/>
  <c r="DC43" i="24"/>
  <c r="DD43" i="24" s="1"/>
  <c r="AI41" i="20" s="1"/>
  <c r="DC46" i="24"/>
  <c r="DD46" i="24" s="1"/>
  <c r="AM41" i="20" s="1"/>
  <c r="BC22" i="6"/>
  <c r="AR10" i="20"/>
  <c r="CU22" i="6"/>
  <c r="AR14" i="20"/>
  <c r="AR55" i="20" s="1"/>
  <c r="P22" i="6"/>
  <c r="E10" i="6"/>
  <c r="E12" i="6" s="1"/>
  <c r="AD9" i="6"/>
  <c r="AD11" i="6" s="1"/>
  <c r="Z9" i="6"/>
  <c r="Z11" i="6" s="1"/>
  <c r="V9" i="6"/>
  <c r="V11" i="6" s="1"/>
  <c r="R9" i="6"/>
  <c r="R11" i="6" s="1"/>
  <c r="AC9" i="6"/>
  <c r="AC11" i="6" s="1"/>
  <c r="Y9" i="6"/>
  <c r="Y11" i="6" s="1"/>
  <c r="U9" i="6"/>
  <c r="U11" i="6" s="1"/>
  <c r="Q9" i="6"/>
  <c r="Q11" i="6" s="1"/>
  <c r="AF9" i="6"/>
  <c r="AF11" i="6" s="1"/>
  <c r="AB9" i="6"/>
  <c r="AB11" i="6" s="1"/>
  <c r="X9" i="6"/>
  <c r="X11" i="6" s="1"/>
  <c r="DE43" i="6" s="1"/>
  <c r="T9" i="6"/>
  <c r="T11" i="6" s="1"/>
  <c r="AE9" i="6"/>
  <c r="AE11" i="6" s="1"/>
  <c r="AA9" i="6"/>
  <c r="AA11" i="6" s="1"/>
  <c r="W9" i="6"/>
  <c r="W11" i="6" s="1"/>
  <c r="CT27" i="6" s="1"/>
  <c r="CV27" i="6" s="1"/>
  <c r="CW27" i="6" s="1"/>
  <c r="P14" i="20" s="1"/>
  <c r="S9" i="6"/>
  <c r="S11" i="6" s="1"/>
  <c r="BB25" i="6" s="1"/>
  <c r="BD25" i="6" s="1"/>
  <c r="BE25" i="6" s="1"/>
  <c r="L10" i="20" s="1"/>
  <c r="CO22" i="6"/>
  <c r="FY22" i="6"/>
  <c r="ER33" i="6"/>
  <c r="FY33" i="6"/>
  <c r="ER46" i="6"/>
  <c r="FY46" i="6"/>
  <c r="FS43" i="6"/>
  <c r="FU43" i="6" s="1"/>
  <c r="FV43" i="6" s="1"/>
  <c r="AJ21" i="20" s="1"/>
  <c r="FQ43" i="6"/>
  <c r="FR43" i="6" s="1"/>
  <c r="AI21" i="20" s="1"/>
  <c r="FN46" i="6"/>
  <c r="FC46" i="6"/>
  <c r="EM26" i="24"/>
  <c r="DQ26" i="24"/>
  <c r="FI30" i="24"/>
  <c r="EX30" i="24"/>
  <c r="GE30" i="24"/>
  <c r="EB30" i="24"/>
  <c r="BV38" i="24"/>
  <c r="BW38" i="24" s="1"/>
  <c r="AA38" i="20" s="1"/>
  <c r="BK38" i="20"/>
  <c r="BC38" i="20"/>
  <c r="BC79" i="20" s="1"/>
  <c r="CR38" i="24"/>
  <c r="CS38" i="24" s="1"/>
  <c r="AA40" i="20" s="1"/>
  <c r="BC40" i="20"/>
  <c r="BC81" i="20" s="1"/>
  <c r="BK40" i="20"/>
  <c r="CG38" i="24"/>
  <c r="CH38" i="24" s="1"/>
  <c r="AA39" i="20" s="1"/>
  <c r="BK39" i="20"/>
  <c r="BC39" i="20"/>
  <c r="BC80" i="20" s="1"/>
  <c r="S38" i="24"/>
  <c r="T38" i="24" s="1"/>
  <c r="AA33" i="20" s="1"/>
  <c r="BK33" i="20"/>
  <c r="BC33" i="20"/>
  <c r="BC74" i="20" s="1"/>
  <c r="CU37" i="6"/>
  <c r="BF14" i="20"/>
  <c r="BF60" i="20" s="1"/>
  <c r="D43" i="27" s="1"/>
  <c r="GE37" i="6"/>
  <c r="BF22" i="20"/>
  <c r="BF68" i="20" s="1"/>
  <c r="D51" i="27" s="1"/>
  <c r="CO37" i="6"/>
  <c r="FY37" i="6"/>
  <c r="EJ30" i="24"/>
  <c r="EK30" i="24" s="1"/>
  <c r="S44" i="20" s="1"/>
  <c r="DY30" i="24"/>
  <c r="DZ30" i="24" s="1"/>
  <c r="S43" i="20" s="1"/>
  <c r="DN30" i="24"/>
  <c r="DO30" i="24" s="1"/>
  <c r="S42" i="20" s="1"/>
  <c r="BK30" i="24"/>
  <c r="BL30" i="24" s="1"/>
  <c r="S37" i="20" s="1"/>
  <c r="AG40" i="24"/>
  <c r="FI22" i="24"/>
  <c r="BC22" i="24"/>
  <c r="CY26" i="6"/>
  <c r="BH26" i="6"/>
  <c r="CC26" i="6"/>
  <c r="FM26" i="6"/>
  <c r="AA26" i="6"/>
  <c r="DY21" i="24"/>
  <c r="DZ21" i="24" s="1"/>
  <c r="E43" i="20" s="1"/>
  <c r="AO43" i="20"/>
  <c r="AO84" i="20" s="1"/>
  <c r="F14" i="27" s="1"/>
  <c r="H14" i="27" s="1"/>
  <c r="DN21" i="24"/>
  <c r="DO21" i="24" s="1"/>
  <c r="E42" i="20" s="1"/>
  <c r="AO42" i="20"/>
  <c r="AO83" i="20" s="1"/>
  <c r="F13" i="27" s="1"/>
  <c r="H13" i="27" s="1"/>
  <c r="S21" i="24"/>
  <c r="T21" i="24" s="1"/>
  <c r="E33" i="20" s="1"/>
  <c r="AO33" i="20"/>
  <c r="AO74" i="20" s="1"/>
  <c r="F4" i="27" s="1"/>
  <c r="H4" i="27" s="1"/>
  <c r="AZ21" i="24"/>
  <c r="BA21" i="24" s="1"/>
  <c r="E36" i="20" s="1"/>
  <c r="AO36" i="20"/>
  <c r="AO77" i="20" s="1"/>
  <c r="F7" i="27" s="1"/>
  <c r="H7" i="27" s="1"/>
  <c r="AZ32" i="24"/>
  <c r="BA32" i="24" s="1"/>
  <c r="U36" i="20" s="1"/>
  <c r="AO32" i="24"/>
  <c r="AP32" i="24" s="1"/>
  <c r="U35" i="20" s="1"/>
  <c r="AD32" i="24"/>
  <c r="AE32" i="24" s="1"/>
  <c r="U34" i="20" s="1"/>
  <c r="S32" i="24"/>
  <c r="T32" i="24" s="1"/>
  <c r="U33" i="20" s="1"/>
  <c r="AZ42" i="24"/>
  <c r="BA42" i="24" s="1"/>
  <c r="AG36" i="20" s="1"/>
  <c r="AZ45" i="24"/>
  <c r="BA45" i="24" s="1"/>
  <c r="AK36" i="20" s="1"/>
  <c r="AO42" i="24"/>
  <c r="AP42" i="24" s="1"/>
  <c r="AG35" i="20" s="1"/>
  <c r="AO45" i="24"/>
  <c r="AP45" i="24" s="1"/>
  <c r="AK35" i="20" s="1"/>
  <c r="AD42" i="24"/>
  <c r="AE42" i="24" s="1"/>
  <c r="AG34" i="20" s="1"/>
  <c r="AD45" i="24"/>
  <c r="AE45" i="24" s="1"/>
  <c r="AK34" i="20" s="1"/>
  <c r="S42" i="24"/>
  <c r="T42" i="24" s="1"/>
  <c r="AG33" i="20" s="1"/>
  <c r="S45" i="24"/>
  <c r="T45" i="24" s="1"/>
  <c r="AK33" i="20" s="1"/>
  <c r="CY21" i="6"/>
  <c r="FX21" i="6"/>
  <c r="D7" i="6"/>
  <c r="CC21" i="6"/>
  <c r="FM21" i="6"/>
  <c r="BR21" i="6"/>
  <c r="FB21" i="6"/>
  <c r="CZ32" i="6"/>
  <c r="EG32" i="6"/>
  <c r="CZ45" i="6"/>
  <c r="EG45" i="6"/>
  <c r="DV45" i="6"/>
  <c r="DK45" i="6"/>
  <c r="DQ29" i="24"/>
  <c r="BB42" i="20"/>
  <c r="BB83" i="20" s="1"/>
  <c r="DF29" i="24"/>
  <c r="BB41" i="20"/>
  <c r="BB82" i="20" s="1"/>
  <c r="EM29" i="24"/>
  <c r="BB44" i="20"/>
  <c r="BB85" i="20" s="1"/>
  <c r="CJ29" i="24"/>
  <c r="BB39" i="20"/>
  <c r="BB80" i="20" s="1"/>
  <c r="AR29" i="6"/>
  <c r="BB9" i="20"/>
  <c r="BB55" i="20" s="1"/>
  <c r="AG29" i="6"/>
  <c r="BB8" i="20"/>
  <c r="BB54" i="20" s="1"/>
  <c r="V29" i="6"/>
  <c r="BB7" i="20"/>
  <c r="BB53" i="20" s="1"/>
  <c r="BC29" i="6"/>
  <c r="BB10" i="20"/>
  <c r="BB56" i="20" s="1"/>
  <c r="BV24" i="24"/>
  <c r="BW24" i="24" s="1"/>
  <c r="I38" i="20" s="1"/>
  <c r="AS38" i="20"/>
  <c r="AS79" i="20" s="1"/>
  <c r="AO24" i="24"/>
  <c r="AP24" i="24" s="1"/>
  <c r="I35" i="20" s="1"/>
  <c r="AS35" i="20"/>
  <c r="AS76" i="20" s="1"/>
  <c r="CR24" i="24"/>
  <c r="CS24" i="24" s="1"/>
  <c r="I40" i="20" s="1"/>
  <c r="AS40" i="20"/>
  <c r="AS81" i="20" s="1"/>
  <c r="CO25" i="6"/>
  <c r="FS25" i="6"/>
  <c r="FU25" i="6" s="1"/>
  <c r="FV25" i="6" s="1"/>
  <c r="L21" i="20" s="1"/>
  <c r="FQ25" i="6"/>
  <c r="FR25" i="6" s="1"/>
  <c r="K21" i="20" s="1"/>
  <c r="AU21" i="20"/>
  <c r="AU62" i="20" s="1"/>
  <c r="EG25" i="6"/>
  <c r="FC25" i="6"/>
  <c r="AZ29" i="24"/>
  <c r="BA29" i="24" s="1"/>
  <c r="Q36" i="20" s="1"/>
  <c r="BA36" i="20"/>
  <c r="BA77" i="20" s="1"/>
  <c r="AO29" i="24"/>
  <c r="AP29" i="24" s="1"/>
  <c r="Q35" i="20" s="1"/>
  <c r="BA35" i="20"/>
  <c r="BA76" i="20" s="1"/>
  <c r="AD29" i="24"/>
  <c r="AE29" i="24" s="1"/>
  <c r="Q34" i="20" s="1"/>
  <c r="BA34" i="20"/>
  <c r="BA75" i="20" s="1"/>
  <c r="EU29" i="24"/>
  <c r="EV29" i="24" s="1"/>
  <c r="Q45" i="20" s="1"/>
  <c r="BA45" i="20"/>
  <c r="BA86" i="20" s="1"/>
  <c r="EQ42" i="6"/>
  <c r="BG42" i="6"/>
  <c r="EF42" i="6"/>
  <c r="DJ42" i="6"/>
  <c r="BH29" i="6"/>
  <c r="AW29" i="6"/>
  <c r="EG29" i="6"/>
  <c r="AL29" i="6"/>
  <c r="DV29" i="6"/>
  <c r="BS29" i="6"/>
  <c r="BY21" i="24"/>
  <c r="GE40" i="24"/>
  <c r="DQ22" i="24"/>
  <c r="GB27" i="24"/>
  <c r="GC27" i="24" s="1"/>
  <c r="O48" i="20" s="1"/>
  <c r="AY48" i="20"/>
  <c r="AY89" i="20" s="1"/>
  <c r="BG48" i="20"/>
  <c r="BG89" i="20" s="1"/>
  <c r="FQ27" i="24"/>
  <c r="FR27" i="24" s="1"/>
  <c r="O47" i="20" s="1"/>
  <c r="AY47" i="20"/>
  <c r="AY88" i="20" s="1"/>
  <c r="BG47" i="20"/>
  <c r="BG88" i="20" s="1"/>
  <c r="FF27" i="24"/>
  <c r="FG27" i="24" s="1"/>
  <c r="O46" i="20" s="1"/>
  <c r="AY46" i="20"/>
  <c r="AY87" i="20" s="1"/>
  <c r="BG46" i="20"/>
  <c r="BG87" i="20" s="1"/>
  <c r="DC27" i="24"/>
  <c r="DD27" i="24" s="1"/>
  <c r="O41" i="20" s="1"/>
  <c r="BG41" i="20"/>
  <c r="BG82" i="20" s="1"/>
  <c r="AY41" i="20"/>
  <c r="AY82" i="20" s="1"/>
  <c r="EM25" i="24"/>
  <c r="AV44" i="20"/>
  <c r="AV85" i="20" s="1"/>
  <c r="EX25" i="24"/>
  <c r="AV45" i="20"/>
  <c r="AV86" i="20" s="1"/>
  <c r="AG25" i="6"/>
  <c r="AV8" i="20"/>
  <c r="FI25" i="6"/>
  <c r="AV20" i="20"/>
  <c r="AV61" i="20" s="1"/>
  <c r="ES24" i="6"/>
  <c r="ET24" i="6" s="1"/>
  <c r="ER24" i="6"/>
  <c r="DC24" i="6"/>
  <c r="DD24" i="6" s="1"/>
  <c r="I15" i="20" s="1"/>
  <c r="AS15" i="20"/>
  <c r="AS56" i="20" s="1"/>
  <c r="CD24" i="6"/>
  <c r="FN24" i="6"/>
  <c r="FQ40" i="24"/>
  <c r="FR40" i="24" s="1"/>
  <c r="AE47" i="20" s="1"/>
  <c r="S40" i="6"/>
  <c r="T40" i="6" s="1"/>
  <c r="AE7" i="20" s="1"/>
  <c r="U40" i="6"/>
  <c r="W40" i="6" s="1"/>
  <c r="X40" i="6" s="1"/>
  <c r="AF7" i="20" s="1"/>
  <c r="AZ26" i="24"/>
  <c r="BA26" i="24" s="1"/>
  <c r="M36" i="20" s="1"/>
  <c r="AW36" i="20"/>
  <c r="AW77" i="20" s="1"/>
  <c r="F23" i="27" s="1"/>
  <c r="H23" i="27" s="1"/>
  <c r="AO26" i="24"/>
  <c r="AP26" i="24" s="1"/>
  <c r="M35" i="20" s="1"/>
  <c r="AW35" i="20"/>
  <c r="AW76" i="20" s="1"/>
  <c r="F22" i="27" s="1"/>
  <c r="H22" i="27" s="1"/>
  <c r="AD26" i="24"/>
  <c r="AE26" i="24" s="1"/>
  <c r="M34" i="20" s="1"/>
  <c r="AW34" i="20"/>
  <c r="AW75" i="20" s="1"/>
  <c r="F21" i="27" s="1"/>
  <c r="H21" i="27" s="1"/>
  <c r="EU26" i="24"/>
  <c r="EV26" i="24" s="1"/>
  <c r="M45" i="20" s="1"/>
  <c r="AW45" i="20"/>
  <c r="AW86" i="20" s="1"/>
  <c r="F32" i="27" s="1"/>
  <c r="H32" i="27" s="1"/>
  <c r="BN24" i="24"/>
  <c r="AT37" i="20"/>
  <c r="AT78" i="20" s="1"/>
  <c r="EM24" i="24"/>
  <c r="AT44" i="20"/>
  <c r="AT85" i="20" s="1"/>
  <c r="FT24" i="24"/>
  <c r="AT47" i="20"/>
  <c r="AT88" i="20" s="1"/>
  <c r="EM24" i="6"/>
  <c r="AT18" i="20"/>
  <c r="AT59" i="20" s="1"/>
  <c r="DN37" i="24"/>
  <c r="DO37" i="24" s="1"/>
  <c r="Y42" i="20" s="1"/>
  <c r="BE42" i="20"/>
  <c r="BE83" i="20" s="1"/>
  <c r="F45" i="27" s="1"/>
  <c r="H45" i="27" s="1"/>
  <c r="BK37" i="24"/>
  <c r="BL37" i="24" s="1"/>
  <c r="Y37" i="20" s="1"/>
  <c r="BE37" i="20"/>
  <c r="BE78" i="20" s="1"/>
  <c r="F40" i="27" s="1"/>
  <c r="H40" i="27" s="1"/>
  <c r="EM38" i="6"/>
  <c r="BL18" i="20"/>
  <c r="BD18" i="20"/>
  <c r="BD64" i="20" s="1"/>
  <c r="S38" i="6"/>
  <c r="T38" i="6" s="1"/>
  <c r="AA7" i="20" s="1"/>
  <c r="U38" i="6"/>
  <c r="W38" i="6" s="1"/>
  <c r="X38" i="6" s="1"/>
  <c r="AB7" i="20" s="1"/>
  <c r="BC7" i="20"/>
  <c r="BC53" i="20" s="1"/>
  <c r="BK7" i="20"/>
  <c r="EB38" i="6"/>
  <c r="BL17" i="20"/>
  <c r="BD17" i="20"/>
  <c r="BD63" i="20" s="1"/>
  <c r="DQ38" i="6"/>
  <c r="BL16" i="20"/>
  <c r="BD16" i="20"/>
  <c r="BD62" i="20" s="1"/>
  <c r="AZ39" i="24"/>
  <c r="BA39" i="24" s="1"/>
  <c r="AC36" i="20" s="1"/>
  <c r="BI36" i="20"/>
  <c r="BI77" i="20" s="1"/>
  <c r="F55" i="27" s="1"/>
  <c r="H55" i="27" s="1"/>
  <c r="AO39" i="24"/>
  <c r="AP39" i="24" s="1"/>
  <c r="AC35" i="20" s="1"/>
  <c r="BI35" i="20"/>
  <c r="BI76" i="20" s="1"/>
  <c r="F54" i="27" s="1"/>
  <c r="H54" i="27" s="1"/>
  <c r="AD39" i="24"/>
  <c r="AE39" i="24" s="1"/>
  <c r="AC34" i="20" s="1"/>
  <c r="BI34" i="20"/>
  <c r="BI75" i="20" s="1"/>
  <c r="F53" i="27" s="1"/>
  <c r="H53" i="27" s="1"/>
  <c r="EU39" i="24"/>
  <c r="EV39" i="24" s="1"/>
  <c r="AC45" i="20" s="1"/>
  <c r="BI45" i="20"/>
  <c r="BI86" i="20" s="1"/>
  <c r="F64" i="27" s="1"/>
  <c r="H64" i="27" s="1"/>
  <c r="V39" i="6"/>
  <c r="BJ7" i="20"/>
  <c r="BJ53" i="20" s="1"/>
  <c r="D52" i="27" s="1"/>
  <c r="CR39" i="6"/>
  <c r="CS39" i="6" s="1"/>
  <c r="AC14" i="20" s="1"/>
  <c r="BI14" i="20"/>
  <c r="BI60" i="20" s="1"/>
  <c r="C59" i="27" s="1"/>
  <c r="E59" i="27" s="1"/>
  <c r="AG39" i="6"/>
  <c r="BJ8" i="20"/>
  <c r="BJ54" i="20" s="1"/>
  <c r="D53" i="27" s="1"/>
  <c r="AA39" i="6"/>
  <c r="EM27" i="6"/>
  <c r="BH18" i="20"/>
  <c r="BH64" i="20" s="1"/>
  <c r="AZ18" i="20"/>
  <c r="AZ64" i="20" s="1"/>
  <c r="BC27" i="6"/>
  <c r="BH10" i="20"/>
  <c r="BH56" i="20" s="1"/>
  <c r="AZ10" i="20"/>
  <c r="AZ56" i="20" s="1"/>
  <c r="AR27" i="6"/>
  <c r="BH9" i="20"/>
  <c r="BH55" i="20" s="1"/>
  <c r="AZ9" i="20"/>
  <c r="AZ55" i="20" s="1"/>
  <c r="EB27" i="6"/>
  <c r="AZ17" i="20"/>
  <c r="AZ63" i="20" s="1"/>
  <c r="BH17" i="20"/>
  <c r="BH63" i="20" s="1"/>
  <c r="AG27" i="6"/>
  <c r="BH8" i="20"/>
  <c r="BH54" i="20" s="1"/>
  <c r="AZ8" i="20"/>
  <c r="AZ54" i="20" s="1"/>
  <c r="DQ27" i="6"/>
  <c r="BH16" i="20"/>
  <c r="BH62" i="20" s="1"/>
  <c r="AZ16" i="20"/>
  <c r="AZ62" i="20" s="1"/>
  <c r="AA27" i="6"/>
  <c r="AO22" i="24"/>
  <c r="AP22" i="24" s="1"/>
  <c r="G35" i="20" s="1"/>
  <c r="AQ35" i="20"/>
  <c r="AQ76" i="20" s="1"/>
  <c r="BV22" i="24"/>
  <c r="BW22" i="24" s="1"/>
  <c r="G38" i="20" s="1"/>
  <c r="AQ38" i="20"/>
  <c r="AQ79" i="20" s="1"/>
  <c r="S22" i="24"/>
  <c r="T22" i="24" s="1"/>
  <c r="G33" i="20" s="1"/>
  <c r="AQ33" i="20"/>
  <c r="AQ74" i="20" s="1"/>
  <c r="GB22" i="24"/>
  <c r="GC22" i="24" s="1"/>
  <c r="G48" i="20" s="1"/>
  <c r="AQ48" i="20"/>
  <c r="AQ89" i="20" s="1"/>
  <c r="EJ22" i="24"/>
  <c r="EK22" i="24" s="1"/>
  <c r="G44" i="20" s="1"/>
  <c r="AQ44" i="20"/>
  <c r="AQ85" i="20" s="1"/>
  <c r="AO33" i="24"/>
  <c r="AP33" i="24" s="1"/>
  <c r="W35" i="20" s="1"/>
  <c r="AD33" i="24"/>
  <c r="AE33" i="24" s="1"/>
  <c r="W34" i="20" s="1"/>
  <c r="S33" i="24"/>
  <c r="T33" i="24" s="1"/>
  <c r="W33" i="20" s="1"/>
  <c r="EJ33" i="24"/>
  <c r="EK33" i="24" s="1"/>
  <c r="W44" i="20" s="1"/>
  <c r="GB43" i="24"/>
  <c r="GC43" i="24" s="1"/>
  <c r="AI48" i="20" s="1"/>
  <c r="AO43" i="24"/>
  <c r="AP43" i="24" s="1"/>
  <c r="AI35" i="20" s="1"/>
  <c r="AO46" i="24"/>
  <c r="AP46" i="24" s="1"/>
  <c r="AM35" i="20" s="1"/>
  <c r="AD43" i="24"/>
  <c r="AE43" i="24" s="1"/>
  <c r="AI34" i="20" s="1"/>
  <c r="AD46" i="24"/>
  <c r="AE46" i="24" s="1"/>
  <c r="AM34" i="20" s="1"/>
  <c r="EU33" i="24"/>
  <c r="EV33" i="24" s="1"/>
  <c r="W45" i="20" s="1"/>
  <c r="EU43" i="24"/>
  <c r="EV43" i="24" s="1"/>
  <c r="AI45" i="20" s="1"/>
  <c r="EU46" i="24"/>
  <c r="EV46" i="24" s="1"/>
  <c r="AM45" i="20" s="1"/>
  <c r="V22" i="6"/>
  <c r="AR7" i="20"/>
  <c r="GE22" i="6"/>
  <c r="AR22" i="20"/>
  <c r="AR63" i="20" s="1"/>
  <c r="AR22" i="6"/>
  <c r="AR9" i="20"/>
  <c r="EB22" i="6"/>
  <c r="AR17" i="20"/>
  <c r="AR58" i="20" s="1"/>
  <c r="AG22" i="6"/>
  <c r="AR8" i="20"/>
  <c r="DQ22" i="6"/>
  <c r="AR16" i="20"/>
  <c r="AR57" i="20" s="1"/>
  <c r="AA22" i="6"/>
  <c r="P33" i="6"/>
  <c r="AW33" i="6"/>
  <c r="AL33" i="6"/>
  <c r="AA33" i="6"/>
  <c r="S43" i="6"/>
  <c r="T43" i="6" s="1"/>
  <c r="AI7" i="20" s="1"/>
  <c r="U43" i="6"/>
  <c r="W43" i="6" s="1"/>
  <c r="X43" i="6" s="1"/>
  <c r="AJ7" i="20" s="1"/>
  <c r="P46" i="6"/>
  <c r="BB43" i="6"/>
  <c r="BD43" i="6" s="1"/>
  <c r="BE43" i="6" s="1"/>
  <c r="AJ10" i="20" s="1"/>
  <c r="AZ43" i="6"/>
  <c r="BA43" i="6" s="1"/>
  <c r="AI10" i="20" s="1"/>
  <c r="AW46" i="6"/>
  <c r="AQ43" i="6"/>
  <c r="AS43" i="6" s="1"/>
  <c r="AT43" i="6" s="1"/>
  <c r="AJ9" i="20" s="1"/>
  <c r="AO43" i="6"/>
  <c r="AP43" i="6" s="1"/>
  <c r="AI9" i="20" s="1"/>
  <c r="AL46" i="6"/>
  <c r="AD43" i="6"/>
  <c r="AE43" i="6" s="1"/>
  <c r="AI8" i="20" s="1"/>
  <c r="AF43" i="6"/>
  <c r="AH43" i="6" s="1"/>
  <c r="AI43" i="6" s="1"/>
  <c r="AJ8" i="20" s="1"/>
  <c r="AA46" i="6"/>
  <c r="FT30" i="24"/>
  <c r="EB30" i="6"/>
  <c r="DQ30" i="6"/>
  <c r="DF30" i="6"/>
  <c r="EM30" i="6"/>
  <c r="DN38" i="24"/>
  <c r="DO38" i="24" s="1"/>
  <c r="AA42" i="20" s="1"/>
  <c r="BC42" i="20"/>
  <c r="BC83" i="20" s="1"/>
  <c r="BK42" i="20"/>
  <c r="EJ38" i="24"/>
  <c r="EK38" i="24" s="1"/>
  <c r="AA44" i="20" s="1"/>
  <c r="BC44" i="20"/>
  <c r="BC85" i="20" s="1"/>
  <c r="BK44" i="20"/>
  <c r="DY38" i="24"/>
  <c r="DZ38" i="24" s="1"/>
  <c r="AA43" i="20" s="1"/>
  <c r="BC43" i="20"/>
  <c r="BC84" i="20" s="1"/>
  <c r="BK43" i="20"/>
  <c r="BK38" i="24"/>
  <c r="BL38" i="24" s="1"/>
  <c r="AA37" i="20" s="1"/>
  <c r="BC37" i="20"/>
  <c r="BC78" i="20" s="1"/>
  <c r="BK37" i="20"/>
  <c r="V37" i="6"/>
  <c r="BF7" i="20"/>
  <c r="BF53" i="20" s="1"/>
  <c r="D36" i="27" s="1"/>
  <c r="DF37" i="6"/>
  <c r="BF15" i="20"/>
  <c r="BF61" i="20" s="1"/>
  <c r="D44" i="27" s="1"/>
  <c r="P37" i="6"/>
  <c r="AR37" i="6"/>
  <c r="BF9" i="20"/>
  <c r="BF55" i="20" s="1"/>
  <c r="D38" i="27" s="1"/>
  <c r="EB37" i="6"/>
  <c r="BF17" i="20"/>
  <c r="BF63" i="20" s="1"/>
  <c r="D46" i="27" s="1"/>
  <c r="AG37" i="6"/>
  <c r="BF8" i="20"/>
  <c r="BF54" i="20" s="1"/>
  <c r="D37" i="27" s="1"/>
  <c r="DQ37" i="6"/>
  <c r="BF16" i="20"/>
  <c r="BF62" i="20" s="1"/>
  <c r="D45" i="27" s="1"/>
  <c r="AA37" i="6"/>
  <c r="CU39" i="24"/>
  <c r="BY39" i="24"/>
  <c r="GB30" i="24"/>
  <c r="GC30" i="24" s="1"/>
  <c r="S48" i="20" s="1"/>
  <c r="FQ30" i="24"/>
  <c r="FR30" i="24" s="1"/>
  <c r="S47" i="20" s="1"/>
  <c r="FF30" i="24"/>
  <c r="FG30" i="24" s="1"/>
  <c r="S46" i="20" s="1"/>
  <c r="DC30" i="24"/>
  <c r="DD30" i="24" s="1"/>
  <c r="S41" i="20" s="1"/>
  <c r="S30" i="6"/>
  <c r="T30" i="6" s="1"/>
  <c r="S7" i="20" s="1"/>
  <c r="U30" i="6"/>
  <c r="W30" i="6" s="1"/>
  <c r="X30" i="6" s="1"/>
  <c r="T7" i="20" s="1"/>
  <c r="AA30" i="6"/>
  <c r="FT40" i="24"/>
  <c r="BN26" i="6"/>
  <c r="AX11" i="20"/>
  <c r="AX57" i="20" s="1"/>
  <c r="D24" i="27" s="1"/>
  <c r="AG26" i="6"/>
  <c r="AX8" i="20"/>
  <c r="AX54" i="20" s="1"/>
  <c r="D21" i="27" s="1"/>
  <c r="CN26" i="6"/>
  <c r="FX26" i="6"/>
  <c r="CJ37" i="24"/>
  <c r="FQ21" i="24"/>
  <c r="FR21" i="24" s="1"/>
  <c r="E47" i="20" s="1"/>
  <c r="AO47" i="20"/>
  <c r="AO88" i="20" s="1"/>
  <c r="F18" i="27" s="1"/>
  <c r="H18" i="27" s="1"/>
  <c r="FF21" i="24"/>
  <c r="FG21" i="24" s="1"/>
  <c r="E46" i="20" s="1"/>
  <c r="AO46" i="20"/>
  <c r="AO87" i="20" s="1"/>
  <c r="F17" i="27" s="1"/>
  <c r="H17" i="27" s="1"/>
  <c r="BK21" i="24"/>
  <c r="BL21" i="24" s="1"/>
  <c r="E37" i="20" s="1"/>
  <c r="AO37" i="20"/>
  <c r="AO78" i="20" s="1"/>
  <c r="F8" i="27" s="1"/>
  <c r="H8" i="27" s="1"/>
  <c r="CR21" i="24"/>
  <c r="CS21" i="24" s="1"/>
  <c r="E40" i="20" s="1"/>
  <c r="AO40" i="20"/>
  <c r="AO81" i="20" s="1"/>
  <c r="F11" i="27" s="1"/>
  <c r="H11" i="27" s="1"/>
  <c r="CR32" i="24"/>
  <c r="CS32" i="24" s="1"/>
  <c r="U40" i="20" s="1"/>
  <c r="CG32" i="24"/>
  <c r="CH32" i="24" s="1"/>
  <c r="U39" i="20" s="1"/>
  <c r="BV32" i="24"/>
  <c r="BW32" i="24" s="1"/>
  <c r="U38" i="20" s="1"/>
  <c r="BK32" i="24"/>
  <c r="BL32" i="24" s="1"/>
  <c r="U37" i="20" s="1"/>
  <c r="CR42" i="24"/>
  <c r="CS42" i="24" s="1"/>
  <c r="AG40" i="20" s="1"/>
  <c r="CR45" i="24"/>
  <c r="CS45" i="24" s="1"/>
  <c r="AK40" i="20" s="1"/>
  <c r="CG42" i="24"/>
  <c r="CH42" i="24" s="1"/>
  <c r="AG39" i="20" s="1"/>
  <c r="CG45" i="24"/>
  <c r="CH45" i="24" s="1"/>
  <c r="AK39" i="20" s="1"/>
  <c r="BV42" i="24"/>
  <c r="BW42" i="24" s="1"/>
  <c r="AG38" i="20" s="1"/>
  <c r="BV45" i="24"/>
  <c r="BW45" i="24" s="1"/>
  <c r="AK38" i="20" s="1"/>
  <c r="BK42" i="24"/>
  <c r="BL42" i="24" s="1"/>
  <c r="AG37" i="20" s="1"/>
  <c r="BK45" i="24"/>
  <c r="BL45" i="24" s="1"/>
  <c r="AK37" i="20" s="1"/>
  <c r="CU21" i="6"/>
  <c r="AP14" i="20"/>
  <c r="AP60" i="20" s="1"/>
  <c r="D11" i="27" s="1"/>
  <c r="EX21" i="6"/>
  <c r="AP19" i="20"/>
  <c r="AP65" i="20" s="1"/>
  <c r="D16" i="27" s="1"/>
  <c r="ER21" i="6"/>
  <c r="CO21" i="6"/>
  <c r="ER45" i="6"/>
  <c r="FQ42" i="6"/>
  <c r="FR42" i="6" s="1"/>
  <c r="AG21" i="20" s="1"/>
  <c r="CU26" i="24"/>
  <c r="BN38" i="24"/>
  <c r="FI29" i="24"/>
  <c r="BB46" i="20"/>
  <c r="BB87" i="20" s="1"/>
  <c r="EX29" i="24"/>
  <c r="BB45" i="20"/>
  <c r="BB86" i="20" s="1"/>
  <c r="GE29" i="24"/>
  <c r="BB48" i="20"/>
  <c r="BB89" i="20" s="1"/>
  <c r="EB29" i="24"/>
  <c r="BB43" i="20"/>
  <c r="BB84" i="20" s="1"/>
  <c r="CJ29" i="6"/>
  <c r="BB13" i="20"/>
  <c r="BB59" i="20" s="1"/>
  <c r="BY29" i="6"/>
  <c r="BB12" i="20"/>
  <c r="BB58" i="20" s="1"/>
  <c r="BN29" i="6"/>
  <c r="BB11" i="20"/>
  <c r="BB57" i="20" s="1"/>
  <c r="CU29" i="6"/>
  <c r="BB14" i="20"/>
  <c r="BB60" i="20" s="1"/>
  <c r="DY24" i="24"/>
  <c r="DZ24" i="24" s="1"/>
  <c r="I43" i="20" s="1"/>
  <c r="AS43" i="20"/>
  <c r="AS84" i="20" s="1"/>
  <c r="AZ24" i="24"/>
  <c r="BA24" i="24" s="1"/>
  <c r="I36" i="20" s="1"/>
  <c r="AS36" i="20"/>
  <c r="AS77" i="20" s="1"/>
  <c r="EJ24" i="24"/>
  <c r="EK24" i="24" s="1"/>
  <c r="I44" i="20" s="1"/>
  <c r="AS44" i="20"/>
  <c r="AS85" i="20" s="1"/>
  <c r="S24" i="24"/>
  <c r="T24" i="24" s="1"/>
  <c r="I33" i="20" s="1"/>
  <c r="AS33" i="20"/>
  <c r="AS74" i="20" s="1"/>
  <c r="DC25" i="6"/>
  <c r="DD25" i="6" s="1"/>
  <c r="K15" i="20" s="1"/>
  <c r="DE25" i="6"/>
  <c r="DG25" i="6" s="1"/>
  <c r="DH25" i="6" s="1"/>
  <c r="L15" i="20" s="1"/>
  <c r="AU15" i="20"/>
  <c r="AU56" i="20" s="1"/>
  <c r="AA25" i="6"/>
  <c r="GB25" i="6"/>
  <c r="GC25" i="6" s="1"/>
  <c r="K22" i="20" s="1"/>
  <c r="GD25" i="6"/>
  <c r="GF25" i="6" s="1"/>
  <c r="GG25" i="6" s="1"/>
  <c r="L22" i="20" s="1"/>
  <c r="AU22" i="20"/>
  <c r="AU63" i="20" s="1"/>
  <c r="FT39" i="24"/>
  <c r="CR29" i="24"/>
  <c r="CS29" i="24" s="1"/>
  <c r="Q40" i="20" s="1"/>
  <c r="BA40" i="20"/>
  <c r="BA81" i="20" s="1"/>
  <c r="CG29" i="24"/>
  <c r="CH29" i="24" s="1"/>
  <c r="Q39" i="20" s="1"/>
  <c r="BA39" i="20"/>
  <c r="BA80" i="20" s="1"/>
  <c r="BV29" i="24"/>
  <c r="BW29" i="24" s="1"/>
  <c r="Q38" i="20" s="1"/>
  <c r="BA38" i="20"/>
  <c r="BA79" i="20" s="1"/>
  <c r="S29" i="24"/>
  <c r="T29" i="24" s="1"/>
  <c r="Q33" i="20" s="1"/>
  <c r="BA33" i="20"/>
  <c r="BA74" i="20" s="1"/>
  <c r="FX42" i="6"/>
  <c r="FB42" i="6"/>
  <c r="DC29" i="6"/>
  <c r="DD29" i="6" s="1"/>
  <c r="Q15" i="20" s="1"/>
  <c r="BA15" i="20"/>
  <c r="BA61" i="20" s="1"/>
  <c r="DN29" i="6"/>
  <c r="DO29" i="6" s="1"/>
  <c r="Q16" i="20" s="1"/>
  <c r="BA16" i="20"/>
  <c r="BA62" i="20" s="1"/>
  <c r="AZ27" i="24"/>
  <c r="BA27" i="24" s="1"/>
  <c r="O36" i="20" s="1"/>
  <c r="BG36" i="20"/>
  <c r="BG77" i="20" s="1"/>
  <c r="AY36" i="20"/>
  <c r="AY77" i="20" s="1"/>
  <c r="AO27" i="24"/>
  <c r="AP27" i="24" s="1"/>
  <c r="O35" i="20" s="1"/>
  <c r="AY35" i="20"/>
  <c r="AY76" i="20" s="1"/>
  <c r="BG35" i="20"/>
  <c r="BG76" i="20" s="1"/>
  <c r="AD27" i="24"/>
  <c r="AE27" i="24" s="1"/>
  <c r="O34" i="20" s="1"/>
  <c r="AY34" i="20"/>
  <c r="AY75" i="20" s="1"/>
  <c r="BG34" i="20"/>
  <c r="BG75" i="20" s="1"/>
  <c r="EU27" i="24"/>
  <c r="EV27" i="24" s="1"/>
  <c r="O45" i="20" s="1"/>
  <c r="AY45" i="20"/>
  <c r="AY86" i="20" s="1"/>
  <c r="BG45" i="20"/>
  <c r="BG86" i="20" s="1"/>
  <c r="DG43" i="6" l="1"/>
  <c r="DH43" i="6" s="1"/>
  <c r="AJ15" i="20" s="1"/>
  <c r="DG52" i="6"/>
  <c r="CR21" i="6"/>
  <c r="CS21" i="6" s="1"/>
  <c r="E14" i="20" s="1"/>
  <c r="AO14" i="20"/>
  <c r="AO60" i="20" s="1"/>
  <c r="C11" i="27" s="1"/>
  <c r="E11" i="27" s="1"/>
  <c r="CP26" i="6"/>
  <c r="CQ26" i="6" s="1"/>
  <c r="CO26" i="6"/>
  <c r="S37" i="6"/>
  <c r="T37" i="6" s="1"/>
  <c r="Y7" i="20" s="1"/>
  <c r="BE7" i="20"/>
  <c r="BE53" i="20" s="1"/>
  <c r="C36" i="27" s="1"/>
  <c r="E36" i="27" s="1"/>
  <c r="BB46" i="6"/>
  <c r="BD46" i="6" s="1"/>
  <c r="BE46" i="6" s="1"/>
  <c r="AN10" i="20" s="1"/>
  <c r="AZ46" i="6"/>
  <c r="BA46" i="6" s="1"/>
  <c r="AM10" i="20" s="1"/>
  <c r="BB33" i="6"/>
  <c r="BD33" i="6" s="1"/>
  <c r="BE33" i="6" s="1"/>
  <c r="X10" i="20" s="1"/>
  <c r="AZ33" i="6"/>
  <c r="BA33" i="6" s="1"/>
  <c r="W10" i="20" s="1"/>
  <c r="FQ24" i="6"/>
  <c r="FR24" i="6" s="1"/>
  <c r="I21" i="20" s="1"/>
  <c r="AS21" i="20"/>
  <c r="AS62" i="20" s="1"/>
  <c r="AO29" i="6"/>
  <c r="AP29" i="6" s="1"/>
  <c r="Q9" i="20" s="1"/>
  <c r="BA9" i="20"/>
  <c r="BA55" i="20" s="1"/>
  <c r="DL42" i="6"/>
  <c r="DM42" i="6" s="1"/>
  <c r="DQ42" i="6" s="1"/>
  <c r="DK42" i="6"/>
  <c r="FH25" i="6"/>
  <c r="FJ25" i="6" s="1"/>
  <c r="FK25" i="6" s="1"/>
  <c r="L20" i="20" s="1"/>
  <c r="FF25" i="6"/>
  <c r="FG25" i="6" s="1"/>
  <c r="K20" i="20" s="1"/>
  <c r="AU20" i="20"/>
  <c r="AU61" i="20" s="1"/>
  <c r="DY45" i="6"/>
  <c r="DZ45" i="6" s="1"/>
  <c r="AK17" i="20" s="1"/>
  <c r="DC32" i="6"/>
  <c r="DD32" i="6" s="1"/>
  <c r="U15" i="20" s="1"/>
  <c r="CE21" i="6"/>
  <c r="CF21" i="6" s="1"/>
  <c r="CD21" i="6"/>
  <c r="AD26" i="6"/>
  <c r="AE26" i="6" s="1"/>
  <c r="M8" i="20" s="1"/>
  <c r="AW8" i="20"/>
  <c r="AW54" i="20" s="1"/>
  <c r="C21" i="27" s="1"/>
  <c r="E21" i="27" s="1"/>
  <c r="DA26" i="6"/>
  <c r="DB26" i="6" s="1"/>
  <c r="CZ26" i="6"/>
  <c r="GB37" i="6"/>
  <c r="GC37" i="6" s="1"/>
  <c r="Y22" i="20" s="1"/>
  <c r="BE22" i="20"/>
  <c r="BE68" i="20" s="1"/>
  <c r="C51" i="27" s="1"/>
  <c r="E51" i="27" s="1"/>
  <c r="FF46" i="6"/>
  <c r="FG46" i="6" s="1"/>
  <c r="AM20" i="20" s="1"/>
  <c r="FH46" i="6"/>
  <c r="FJ46" i="6" s="1"/>
  <c r="FK46" i="6" s="1"/>
  <c r="AN20" i="20" s="1"/>
  <c r="GD46" i="6"/>
  <c r="GF46" i="6" s="1"/>
  <c r="GG46" i="6" s="1"/>
  <c r="AN22" i="20" s="1"/>
  <c r="GB46" i="6"/>
  <c r="GC46" i="6" s="1"/>
  <c r="AM22" i="20" s="1"/>
  <c r="GD22" i="6"/>
  <c r="GF22" i="6" s="1"/>
  <c r="GG22" i="6" s="1"/>
  <c r="H22" i="20" s="1"/>
  <c r="GB22" i="6"/>
  <c r="GC22" i="6" s="1"/>
  <c r="G22" i="20" s="1"/>
  <c r="AQ22" i="20"/>
  <c r="AQ63" i="20" s="1"/>
  <c r="CG39" i="6"/>
  <c r="CH39" i="6" s="1"/>
  <c r="AC13" i="20" s="1"/>
  <c r="BI13" i="20"/>
  <c r="BI59" i="20" s="1"/>
  <c r="C58" i="27" s="1"/>
  <c r="E58" i="27" s="1"/>
  <c r="BK39" i="6"/>
  <c r="BL39" i="6" s="1"/>
  <c r="AC11" i="20" s="1"/>
  <c r="BI11" i="20"/>
  <c r="BI57" i="20" s="1"/>
  <c r="C56" i="27" s="1"/>
  <c r="E56" i="27" s="1"/>
  <c r="CP40" i="6"/>
  <c r="CQ40" i="6" s="1"/>
  <c r="CU40" i="6" s="1"/>
  <c r="CO40" i="6"/>
  <c r="AD29" i="6"/>
  <c r="AE29" i="6" s="1"/>
  <c r="Q8" i="20" s="1"/>
  <c r="BA8" i="20"/>
  <c r="BA54" i="20" s="1"/>
  <c r="DW42" i="6"/>
  <c r="DX42" i="6" s="1"/>
  <c r="EB42" i="6" s="1"/>
  <c r="DV42" i="6"/>
  <c r="BK25" i="6"/>
  <c r="BL25" i="6" s="1"/>
  <c r="K11" i="20" s="1"/>
  <c r="BM25" i="6"/>
  <c r="BO25" i="6" s="1"/>
  <c r="BP25" i="6" s="1"/>
  <c r="L11" i="20" s="1"/>
  <c r="AU11" i="20"/>
  <c r="S25" i="6"/>
  <c r="T25" i="6" s="1"/>
  <c r="K7" i="20" s="1"/>
  <c r="U25" i="6"/>
  <c r="W25" i="6" s="1"/>
  <c r="X25" i="6" s="1"/>
  <c r="L7" i="20" s="1"/>
  <c r="AU7" i="20"/>
  <c r="Q21" i="6"/>
  <c r="R21" i="6" s="1"/>
  <c r="P21" i="6"/>
  <c r="AX26" i="6"/>
  <c r="AY26" i="6" s="1"/>
  <c r="AW26" i="6"/>
  <c r="CE30" i="6"/>
  <c r="CF30" i="6" s="1"/>
  <c r="CJ30" i="6" s="1"/>
  <c r="CD30" i="6"/>
  <c r="FD43" i="6"/>
  <c r="FE43" i="6" s="1"/>
  <c r="FI43" i="6" s="1"/>
  <c r="FC43" i="6"/>
  <c r="DN37" i="6"/>
  <c r="DO37" i="6" s="1"/>
  <c r="Y16" i="20" s="1"/>
  <c r="BE16" i="20"/>
  <c r="BE62" i="20" s="1"/>
  <c r="C45" i="27" s="1"/>
  <c r="E45" i="27" s="1"/>
  <c r="CE37" i="6"/>
  <c r="CF37" i="6" s="1"/>
  <c r="CD37" i="6"/>
  <c r="DC46" i="6"/>
  <c r="DD46" i="6" s="1"/>
  <c r="AM15" i="20" s="1"/>
  <c r="DE46" i="6"/>
  <c r="EA33" i="6"/>
  <c r="EC33" i="6" s="1"/>
  <c r="ED33" i="6" s="1"/>
  <c r="X17" i="20" s="1"/>
  <c r="DY33" i="6"/>
  <c r="DZ33" i="6" s="1"/>
  <c r="W17" i="20" s="1"/>
  <c r="FD22" i="6"/>
  <c r="FE22" i="6" s="1"/>
  <c r="FC22" i="6"/>
  <c r="EU22" i="6"/>
  <c r="EV22" i="6" s="1"/>
  <c r="G19" i="20" s="1"/>
  <c r="EW22" i="6"/>
  <c r="EY22" i="6" s="1"/>
  <c r="EZ22" i="6" s="1"/>
  <c r="H19" i="20" s="1"/>
  <c r="AQ19" i="20"/>
  <c r="AQ60" i="20" s="1"/>
  <c r="FD27" i="6"/>
  <c r="FE27" i="6" s="1"/>
  <c r="FC27" i="6"/>
  <c r="DC27" i="6"/>
  <c r="DD27" i="6" s="1"/>
  <c r="O15" i="20" s="1"/>
  <c r="DE27" i="6"/>
  <c r="DG27" i="6" s="1"/>
  <c r="DH27" i="6" s="1"/>
  <c r="P15" i="20" s="1"/>
  <c r="BG15" i="20"/>
  <c r="BG61" i="20" s="1"/>
  <c r="AY15" i="20"/>
  <c r="AY61" i="20" s="1"/>
  <c r="FD38" i="6"/>
  <c r="FE38" i="6" s="1"/>
  <c r="FC38" i="6"/>
  <c r="DC38" i="6"/>
  <c r="DD38" i="6" s="1"/>
  <c r="AA15" i="20" s="1"/>
  <c r="DE38" i="6"/>
  <c r="BC15" i="20"/>
  <c r="BC61" i="20" s="1"/>
  <c r="BK15" i="20"/>
  <c r="FZ32" i="6"/>
  <c r="GA32" i="6" s="1"/>
  <c r="GE32" i="6" s="1"/>
  <c r="FY32" i="6"/>
  <c r="CE40" i="6"/>
  <c r="CF40" i="6" s="1"/>
  <c r="CJ40" i="6" s="1"/>
  <c r="CD40" i="6"/>
  <c r="AO24" i="6"/>
  <c r="AP24" i="6" s="1"/>
  <c r="I9" i="20" s="1"/>
  <c r="AS9" i="20"/>
  <c r="GB29" i="6"/>
  <c r="GC29" i="6" s="1"/>
  <c r="Q22" i="20" s="1"/>
  <c r="BA22" i="20"/>
  <c r="BA68" i="20" s="1"/>
  <c r="AX42" i="6"/>
  <c r="AY42" i="6" s="1"/>
  <c r="BC42" i="6" s="1"/>
  <c r="AW42" i="6"/>
  <c r="EU25" i="6"/>
  <c r="EV25" i="6" s="1"/>
  <c r="K19" i="20" s="1"/>
  <c r="EW25" i="6"/>
  <c r="EY25" i="6" s="1"/>
  <c r="EZ25" i="6" s="1"/>
  <c r="L19" i="20" s="1"/>
  <c r="AU19" i="20"/>
  <c r="AU60" i="20" s="1"/>
  <c r="AD45" i="6"/>
  <c r="AE45" i="6" s="1"/>
  <c r="AK8" i="20" s="1"/>
  <c r="AD32" i="6"/>
  <c r="AE32" i="6" s="1"/>
  <c r="U8" i="20" s="1"/>
  <c r="DL21" i="6"/>
  <c r="DM21" i="6" s="1"/>
  <c r="DK21" i="6"/>
  <c r="EH21" i="6"/>
  <c r="EI21" i="6" s="1"/>
  <c r="EG21" i="6"/>
  <c r="AF8" i="24"/>
  <c r="AF10" i="24" s="1"/>
  <c r="AB8" i="24"/>
  <c r="AB10" i="24" s="1"/>
  <c r="X8" i="24"/>
  <c r="X10" i="24" s="1"/>
  <c r="T8" i="24"/>
  <c r="T10" i="24" s="1"/>
  <c r="AE8" i="24"/>
  <c r="AE10" i="24" s="1"/>
  <c r="AA8" i="24"/>
  <c r="AA10" i="24" s="1"/>
  <c r="W8" i="24"/>
  <c r="W10" i="24" s="1"/>
  <c r="S8" i="24"/>
  <c r="S10" i="24" s="1"/>
  <c r="AD8" i="24"/>
  <c r="AD10" i="24" s="1"/>
  <c r="Z8" i="24"/>
  <c r="Z10" i="24" s="1"/>
  <c r="V8" i="24"/>
  <c r="V10" i="24" s="1"/>
  <c r="R8" i="24"/>
  <c r="R10" i="24" s="1"/>
  <c r="D10" i="24"/>
  <c r="D12" i="24" s="1"/>
  <c r="AC8" i="24"/>
  <c r="AC10" i="24" s="1"/>
  <c r="Y8" i="24"/>
  <c r="Y10" i="24" s="1"/>
  <c r="U8" i="24"/>
  <c r="U10" i="24" s="1"/>
  <c r="Q8" i="24"/>
  <c r="Q10" i="24" s="1"/>
  <c r="DW26" i="6"/>
  <c r="DX26" i="6" s="1"/>
  <c r="DV26" i="6"/>
  <c r="BB30" i="6"/>
  <c r="AZ30" i="6"/>
  <c r="BA30" i="6" s="1"/>
  <c r="S10" i="20" s="1"/>
  <c r="EH43" i="6"/>
  <c r="EI43" i="6" s="1"/>
  <c r="EM43" i="6" s="1"/>
  <c r="EG43" i="6"/>
  <c r="AO37" i="6"/>
  <c r="AP37" i="6" s="1"/>
  <c r="Y9" i="20" s="1"/>
  <c r="BE9" i="20"/>
  <c r="BE55" i="20" s="1"/>
  <c r="C38" i="27" s="1"/>
  <c r="E38" i="27" s="1"/>
  <c r="BV46" i="6"/>
  <c r="BW46" i="6" s="1"/>
  <c r="AM12" i="20" s="1"/>
  <c r="BX46" i="6"/>
  <c r="BZ46" i="6" s="1"/>
  <c r="CA46" i="6" s="1"/>
  <c r="AN12" i="20" s="1"/>
  <c r="CT43" i="6"/>
  <c r="CV43" i="6" s="1"/>
  <c r="CW43" i="6" s="1"/>
  <c r="AJ14" i="20" s="1"/>
  <c r="CR43" i="6"/>
  <c r="CS43" i="6" s="1"/>
  <c r="AI14" i="20" s="1"/>
  <c r="CT33" i="6"/>
  <c r="CV33" i="6" s="1"/>
  <c r="CW33" i="6" s="1"/>
  <c r="X14" i="20" s="1"/>
  <c r="CR33" i="6"/>
  <c r="CS33" i="6" s="1"/>
  <c r="W14" i="20" s="1"/>
  <c r="EL22" i="6"/>
  <c r="EN22" i="6" s="1"/>
  <c r="EO22" i="6" s="1"/>
  <c r="H18" i="20" s="1"/>
  <c r="EJ22" i="6"/>
  <c r="EK22" i="6" s="1"/>
  <c r="G18" i="20" s="1"/>
  <c r="AQ18" i="20"/>
  <c r="AQ59" i="20" s="1"/>
  <c r="EA27" i="6"/>
  <c r="EC27" i="6" s="1"/>
  <c r="ED27" i="6" s="1"/>
  <c r="P17" i="20" s="1"/>
  <c r="DY27" i="6"/>
  <c r="DZ27" i="6" s="1"/>
  <c r="O17" i="20" s="1"/>
  <c r="AY17" i="20"/>
  <c r="AY63" i="20" s="1"/>
  <c r="BG17" i="20"/>
  <c r="BG63" i="20" s="1"/>
  <c r="BK27" i="6"/>
  <c r="BL27" i="6" s="1"/>
  <c r="O11" i="20" s="1"/>
  <c r="BM27" i="6"/>
  <c r="BO27" i="6" s="1"/>
  <c r="BP27" i="6" s="1"/>
  <c r="P11" i="20" s="1"/>
  <c r="AY11" i="20"/>
  <c r="AY57" i="20" s="1"/>
  <c r="BG11" i="20"/>
  <c r="BG57" i="20" s="1"/>
  <c r="DN39" i="6"/>
  <c r="DO39" i="6" s="1"/>
  <c r="AC16" i="20" s="1"/>
  <c r="BI16" i="20"/>
  <c r="BI62" i="20" s="1"/>
  <c r="C61" i="27" s="1"/>
  <c r="E61" i="27" s="1"/>
  <c r="DY39" i="6"/>
  <c r="DZ39" i="6" s="1"/>
  <c r="AC17" i="20" s="1"/>
  <c r="BI17" i="20"/>
  <c r="BI63" i="20" s="1"/>
  <c r="C62" i="27" s="1"/>
  <c r="E62" i="27" s="1"/>
  <c r="FD45" i="6"/>
  <c r="FE45" i="6" s="1"/>
  <c r="FI45" i="6" s="1"/>
  <c r="FC45" i="6"/>
  <c r="I59" i="27"/>
  <c r="BB38" i="6"/>
  <c r="BD38" i="6" s="1"/>
  <c r="BE38" i="6" s="1"/>
  <c r="AB10" i="20" s="1"/>
  <c r="AZ38" i="6"/>
  <c r="BA38" i="6" s="1"/>
  <c r="AA10" i="20" s="1"/>
  <c r="BC10" i="20"/>
  <c r="BC56" i="20" s="1"/>
  <c r="BK10" i="20"/>
  <c r="ES32" i="6"/>
  <c r="ET32" i="6" s="1"/>
  <c r="EX32" i="6" s="1"/>
  <c r="ER32" i="6"/>
  <c r="EA40" i="6"/>
  <c r="EC40" i="6" s="1"/>
  <c r="ED40" i="6" s="1"/>
  <c r="AF17" i="20" s="1"/>
  <c r="DY40" i="6"/>
  <c r="DZ40" i="6" s="1"/>
  <c r="AE17" i="20" s="1"/>
  <c r="DA40" i="6"/>
  <c r="DB40" i="6" s="1"/>
  <c r="DF40" i="6" s="1"/>
  <c r="CZ40" i="6"/>
  <c r="AB24" i="6"/>
  <c r="AC24" i="6" s="1"/>
  <c r="AA24" i="6"/>
  <c r="BC30" i="6"/>
  <c r="FF30" i="6"/>
  <c r="FG30" i="6" s="1"/>
  <c r="S20" i="20" s="1"/>
  <c r="FH30" i="6"/>
  <c r="FD42" i="6"/>
  <c r="FE42" i="6" s="1"/>
  <c r="FI42" i="6" s="1"/>
  <c r="FC42" i="6"/>
  <c r="EU21" i="6"/>
  <c r="EV21" i="6" s="1"/>
  <c r="E19" i="20" s="1"/>
  <c r="AO19" i="20"/>
  <c r="AO65" i="20" s="1"/>
  <c r="C16" i="27" s="1"/>
  <c r="E16" i="27" s="1"/>
  <c r="I16" i="27" s="1"/>
  <c r="AQ46" i="6"/>
  <c r="AS46" i="6" s="1"/>
  <c r="AT46" i="6" s="1"/>
  <c r="AN9" i="20" s="1"/>
  <c r="AO46" i="6"/>
  <c r="AP46" i="6" s="1"/>
  <c r="AM9" i="20" s="1"/>
  <c r="S33" i="6"/>
  <c r="T33" i="6" s="1"/>
  <c r="W7" i="20" s="1"/>
  <c r="U33" i="6"/>
  <c r="W33" i="6" s="1"/>
  <c r="X33" i="6" s="1"/>
  <c r="X7" i="20" s="1"/>
  <c r="AD39" i="6"/>
  <c r="AE39" i="6" s="1"/>
  <c r="AC8" i="20" s="1"/>
  <c r="BI8" i="20"/>
  <c r="BI54" i="20" s="1"/>
  <c r="C53" i="27" s="1"/>
  <c r="E53" i="27" s="1"/>
  <c r="I53" i="27" s="1"/>
  <c r="I45" i="27"/>
  <c r="CG24" i="6"/>
  <c r="CH24" i="6" s="1"/>
  <c r="I13" i="20" s="1"/>
  <c r="AS13" i="20"/>
  <c r="AS54" i="20" s="1"/>
  <c r="EU24" i="6"/>
  <c r="EV24" i="6" s="1"/>
  <c r="I19" i="20" s="1"/>
  <c r="AS19" i="20"/>
  <c r="AS60" i="20" s="1"/>
  <c r="EL29" i="6"/>
  <c r="EN29" i="6" s="1"/>
  <c r="EO29" i="6" s="1"/>
  <c r="R18" i="20" s="1"/>
  <c r="EJ29" i="6"/>
  <c r="EK29" i="6" s="1"/>
  <c r="Q18" i="20" s="1"/>
  <c r="BA18" i="20"/>
  <c r="BA64" i="20" s="1"/>
  <c r="EH42" i="6"/>
  <c r="EI42" i="6" s="1"/>
  <c r="EM42" i="6" s="1"/>
  <c r="EG42" i="6"/>
  <c r="EJ25" i="6"/>
  <c r="EK25" i="6" s="1"/>
  <c r="K18" i="20" s="1"/>
  <c r="EL25" i="6"/>
  <c r="EN25" i="6" s="1"/>
  <c r="EO25" i="6" s="1"/>
  <c r="L18" i="20" s="1"/>
  <c r="AU18" i="20"/>
  <c r="AU59" i="20" s="1"/>
  <c r="CR25" i="6"/>
  <c r="CS25" i="6" s="1"/>
  <c r="K14" i="20" s="1"/>
  <c r="CT25" i="6"/>
  <c r="CV25" i="6" s="1"/>
  <c r="CW25" i="6" s="1"/>
  <c r="L14" i="20" s="1"/>
  <c r="AU14" i="20"/>
  <c r="AU55" i="20" s="1"/>
  <c r="EJ45" i="6"/>
  <c r="EK45" i="6" s="1"/>
  <c r="AK18" i="20" s="1"/>
  <c r="FD21" i="6"/>
  <c r="FE21" i="6" s="1"/>
  <c r="FC21" i="6"/>
  <c r="AD8" i="6"/>
  <c r="AD10" i="6" s="1"/>
  <c r="FS42" i="6" s="1"/>
  <c r="FU42" i="6" s="1"/>
  <c r="FV42" i="6" s="1"/>
  <c r="AH21" i="20" s="1"/>
  <c r="Z8" i="6"/>
  <c r="Z10" i="6" s="1"/>
  <c r="EA45" i="6" s="1"/>
  <c r="EC45" i="6" s="1"/>
  <c r="ED45" i="6" s="1"/>
  <c r="AL17" i="20" s="1"/>
  <c r="V8" i="6"/>
  <c r="V10" i="6" s="1"/>
  <c r="CI42" i="6" s="1"/>
  <c r="CK42" i="6" s="1"/>
  <c r="CL42" i="6" s="1"/>
  <c r="AH13" i="20" s="1"/>
  <c r="R8" i="6"/>
  <c r="R10" i="6" s="1"/>
  <c r="AF32" i="6" s="1"/>
  <c r="AH32" i="6" s="1"/>
  <c r="AI32" i="6" s="1"/>
  <c r="V8" i="20" s="1"/>
  <c r="D10" i="6"/>
  <c r="D12" i="6" s="1"/>
  <c r="AC8" i="6"/>
  <c r="AC10" i="6" s="1"/>
  <c r="FH24" i="6" s="1"/>
  <c r="FJ24" i="6" s="1"/>
  <c r="FK24" i="6" s="1"/>
  <c r="J20" i="20" s="1"/>
  <c r="Y8" i="6"/>
  <c r="Y10" i="6" s="1"/>
  <c r="DP29" i="6" s="1"/>
  <c r="DR29" i="6" s="1"/>
  <c r="DS29" i="6" s="1"/>
  <c r="R16" i="20" s="1"/>
  <c r="U8" i="6"/>
  <c r="U10" i="6" s="1"/>
  <c r="Q8" i="6"/>
  <c r="Q10" i="6" s="1"/>
  <c r="U24" i="6" s="1"/>
  <c r="W24" i="6" s="1"/>
  <c r="X24" i="6" s="1"/>
  <c r="J7" i="20" s="1"/>
  <c r="AF8" i="6"/>
  <c r="AF10" i="6" s="1"/>
  <c r="AB8" i="6"/>
  <c r="AB10" i="6" s="1"/>
  <c r="EW21" i="6" s="1"/>
  <c r="EY21" i="6" s="1"/>
  <c r="EZ21" i="6" s="1"/>
  <c r="F19" i="20" s="1"/>
  <c r="X8" i="6"/>
  <c r="X10" i="6" s="1"/>
  <c r="T8" i="6"/>
  <c r="T10" i="6" s="1"/>
  <c r="BM24" i="6" s="1"/>
  <c r="BO24" i="6" s="1"/>
  <c r="BP24" i="6" s="1"/>
  <c r="J11" i="20" s="1"/>
  <c r="AE8" i="6"/>
  <c r="AE10" i="6" s="1"/>
  <c r="AA8" i="6"/>
  <c r="AA10" i="6" s="1"/>
  <c r="W8" i="6"/>
  <c r="W10" i="6" s="1"/>
  <c r="CT39" i="6" s="1"/>
  <c r="CV39" i="6" s="1"/>
  <c r="CW39" i="6" s="1"/>
  <c r="AD14" i="20" s="1"/>
  <c r="S8" i="6"/>
  <c r="S10" i="6" s="1"/>
  <c r="FO26" i="6"/>
  <c r="FP26" i="6" s="1"/>
  <c r="FN26" i="6"/>
  <c r="CT37" i="6"/>
  <c r="CV37" i="6" s="1"/>
  <c r="CW37" i="6" s="1"/>
  <c r="Z14" i="20" s="1"/>
  <c r="CR37" i="6"/>
  <c r="CS37" i="6" s="1"/>
  <c r="Y14" i="20" s="1"/>
  <c r="BE14" i="20"/>
  <c r="BE60" i="20" s="1"/>
  <c r="C43" i="27" s="1"/>
  <c r="E43" i="27" s="1"/>
  <c r="FS46" i="6"/>
  <c r="FU46" i="6" s="1"/>
  <c r="FV46" i="6" s="1"/>
  <c r="AN21" i="20" s="1"/>
  <c r="FQ46" i="6"/>
  <c r="FR46" i="6" s="1"/>
  <c r="AM21" i="20" s="1"/>
  <c r="EU46" i="6"/>
  <c r="EV46" i="6" s="1"/>
  <c r="AM19" i="20" s="1"/>
  <c r="EW46" i="6"/>
  <c r="EY46" i="6" s="1"/>
  <c r="EZ46" i="6" s="1"/>
  <c r="AN19" i="20" s="1"/>
  <c r="CT22" i="6"/>
  <c r="CV22" i="6" s="1"/>
  <c r="CW22" i="6" s="1"/>
  <c r="H14" i="20" s="1"/>
  <c r="CR22" i="6"/>
  <c r="CS22" i="6" s="1"/>
  <c r="G14" i="20" s="1"/>
  <c r="AQ14" i="20"/>
  <c r="AQ55" i="20" s="1"/>
  <c r="I36" i="27"/>
  <c r="FD32" i="6"/>
  <c r="FE32" i="6" s="1"/>
  <c r="FI32" i="6" s="1"/>
  <c r="FC32" i="6"/>
  <c r="S29" i="6"/>
  <c r="T29" i="6" s="1"/>
  <c r="Q7" i="20" s="1"/>
  <c r="U29" i="6"/>
  <c r="W29" i="6" s="1"/>
  <c r="X29" i="6" s="1"/>
  <c r="R7" i="20" s="1"/>
  <c r="BA7" i="20"/>
  <c r="BA53" i="20" s="1"/>
  <c r="AM42" i="6"/>
  <c r="AN42" i="6" s="1"/>
  <c r="AR42" i="6" s="1"/>
  <c r="AL42" i="6"/>
  <c r="BV45" i="6"/>
  <c r="BW45" i="6" s="1"/>
  <c r="AK12" i="20" s="1"/>
  <c r="BX45" i="6"/>
  <c r="BZ45" i="6" s="1"/>
  <c r="CA45" i="6" s="1"/>
  <c r="AL12" i="20" s="1"/>
  <c r="CT45" i="6"/>
  <c r="CV45" i="6" s="1"/>
  <c r="CW45" i="6" s="1"/>
  <c r="AL14" i="20" s="1"/>
  <c r="CR45" i="6"/>
  <c r="CS45" i="6" s="1"/>
  <c r="AK14" i="20" s="1"/>
  <c r="DL26" i="6"/>
  <c r="DM26" i="6" s="1"/>
  <c r="DK26" i="6"/>
  <c r="DN30" i="6"/>
  <c r="DO30" i="6" s="1"/>
  <c r="S16" i="20" s="1"/>
  <c r="DP30" i="6"/>
  <c r="DR30" i="6" s="1"/>
  <c r="DS30" i="6" s="1"/>
  <c r="T16" i="20" s="1"/>
  <c r="DC30" i="6"/>
  <c r="DD30" i="6" s="1"/>
  <c r="S15" i="20" s="1"/>
  <c r="DE30" i="6"/>
  <c r="DG30" i="6" s="1"/>
  <c r="DH30" i="6" s="1"/>
  <c r="T15" i="20" s="1"/>
  <c r="FZ43" i="6"/>
  <c r="GA43" i="6" s="1"/>
  <c r="GE43" i="6" s="1"/>
  <c r="FY43" i="6"/>
  <c r="FD37" i="6"/>
  <c r="FE37" i="6" s="1"/>
  <c r="FC37" i="6"/>
  <c r="DC37" i="6"/>
  <c r="DD37" i="6" s="1"/>
  <c r="Y15" i="20" s="1"/>
  <c r="DE37" i="6"/>
  <c r="DG37" i="6" s="1"/>
  <c r="DH37" i="6" s="1"/>
  <c r="Z15" i="20" s="1"/>
  <c r="BE15" i="20"/>
  <c r="BE61" i="20" s="1"/>
  <c r="C44" i="27" s="1"/>
  <c r="E44" i="27" s="1"/>
  <c r="EA46" i="6"/>
  <c r="EC46" i="6" s="1"/>
  <c r="ED46" i="6" s="1"/>
  <c r="AN17" i="20" s="1"/>
  <c r="DY46" i="6"/>
  <c r="DZ46" i="6" s="1"/>
  <c r="AM17" i="20" s="1"/>
  <c r="EL33" i="6"/>
  <c r="EN33" i="6" s="1"/>
  <c r="EO33" i="6" s="1"/>
  <c r="X18" i="20" s="1"/>
  <c r="EJ33" i="6"/>
  <c r="EK33" i="6" s="1"/>
  <c r="W18" i="20" s="1"/>
  <c r="BT22" i="6"/>
  <c r="BU22" i="6" s="1"/>
  <c r="BS22" i="6"/>
  <c r="BT27" i="6"/>
  <c r="BU27" i="6" s="1"/>
  <c r="BS27" i="6"/>
  <c r="I62" i="27"/>
  <c r="BT38" i="6"/>
  <c r="BU38" i="6" s="1"/>
  <c r="BS38" i="6"/>
  <c r="CP38" i="6"/>
  <c r="CQ38" i="6" s="1"/>
  <c r="CO38" i="6"/>
  <c r="DL32" i="6"/>
  <c r="DM32" i="6" s="1"/>
  <c r="DQ32" i="6" s="1"/>
  <c r="DK32" i="6"/>
  <c r="DN40" i="6"/>
  <c r="DO40" i="6" s="1"/>
  <c r="AE16" i="20" s="1"/>
  <c r="DP40" i="6"/>
  <c r="DR40" i="6" s="1"/>
  <c r="DS40" i="6" s="1"/>
  <c r="AF16" i="20" s="1"/>
  <c r="EU40" i="6"/>
  <c r="EV40" i="6" s="1"/>
  <c r="AE19" i="20" s="1"/>
  <c r="EW40" i="6"/>
  <c r="EY40" i="6" s="1"/>
  <c r="EZ40" i="6" s="1"/>
  <c r="AF19" i="20" s="1"/>
  <c r="CT24" i="6"/>
  <c r="CV24" i="6" s="1"/>
  <c r="CW24" i="6" s="1"/>
  <c r="J14" i="20" s="1"/>
  <c r="CR24" i="6"/>
  <c r="CS24" i="6" s="1"/>
  <c r="I14" i="20" s="1"/>
  <c r="AS14" i="20"/>
  <c r="AS55" i="20" s="1"/>
  <c r="FF29" i="6"/>
  <c r="FG29" i="6" s="1"/>
  <c r="Q20" i="20" s="1"/>
  <c r="FH29" i="6"/>
  <c r="FJ29" i="6" s="1"/>
  <c r="FK29" i="6" s="1"/>
  <c r="R20" i="20" s="1"/>
  <c r="BA20" i="20"/>
  <c r="BA66" i="20" s="1"/>
  <c r="CT29" i="6"/>
  <c r="CV29" i="6" s="1"/>
  <c r="CW29" i="6" s="1"/>
  <c r="R14" i="20" s="1"/>
  <c r="CR29" i="6"/>
  <c r="CS29" i="6" s="1"/>
  <c r="Q14" i="20" s="1"/>
  <c r="BA14" i="20"/>
  <c r="BA60" i="20" s="1"/>
  <c r="DA42" i="6"/>
  <c r="DB42" i="6" s="1"/>
  <c r="DF42" i="6" s="1"/>
  <c r="CZ42" i="6"/>
  <c r="CI25" i="6"/>
  <c r="CK25" i="6" s="1"/>
  <c r="CL25" i="6" s="1"/>
  <c r="L13" i="20" s="1"/>
  <c r="CG25" i="6"/>
  <c r="CH25" i="6" s="1"/>
  <c r="K13" i="20" s="1"/>
  <c r="AU13" i="20"/>
  <c r="AU54" i="20" s="1"/>
  <c r="AQ45" i="6"/>
  <c r="AS45" i="6" s="1"/>
  <c r="AT45" i="6" s="1"/>
  <c r="AL9" i="20" s="1"/>
  <c r="AO45" i="6"/>
  <c r="AP45" i="6" s="1"/>
  <c r="AK9" i="20" s="1"/>
  <c r="AQ32" i="6"/>
  <c r="AS32" i="6" s="1"/>
  <c r="AT32" i="6" s="1"/>
  <c r="V9" i="20" s="1"/>
  <c r="AO32" i="6"/>
  <c r="AP32" i="6" s="1"/>
  <c r="U9" i="20" s="1"/>
  <c r="AB21" i="6"/>
  <c r="AC21" i="6" s="1"/>
  <c r="AA21" i="6"/>
  <c r="AX21" i="6"/>
  <c r="AY21" i="6" s="1"/>
  <c r="AW21" i="6"/>
  <c r="AM26" i="6"/>
  <c r="AN26" i="6" s="1"/>
  <c r="AL26" i="6"/>
  <c r="EA30" i="6"/>
  <c r="EC30" i="6" s="1"/>
  <c r="ED30" i="6" s="1"/>
  <c r="T17" i="20" s="1"/>
  <c r="DY30" i="6"/>
  <c r="DZ30" i="6" s="1"/>
  <c r="S17" i="20" s="1"/>
  <c r="BI30" i="6"/>
  <c r="BJ30" i="6" s="1"/>
  <c r="BN30" i="6" s="1"/>
  <c r="BH30" i="6"/>
  <c r="ES43" i="6"/>
  <c r="ET43" i="6" s="1"/>
  <c r="EX43" i="6" s="1"/>
  <c r="ER43" i="6"/>
  <c r="EH37" i="6"/>
  <c r="EI37" i="6" s="1"/>
  <c r="EG37" i="6"/>
  <c r="BV43" i="6"/>
  <c r="BW43" i="6" s="1"/>
  <c r="AI12" i="20" s="1"/>
  <c r="BX43" i="6"/>
  <c r="BZ43" i="6" s="1"/>
  <c r="CA43" i="6" s="1"/>
  <c r="AJ12" i="20" s="1"/>
  <c r="BK46" i="6"/>
  <c r="BL46" i="6" s="1"/>
  <c r="AM11" i="20" s="1"/>
  <c r="BM46" i="6"/>
  <c r="BO46" i="6" s="1"/>
  <c r="BP46" i="6" s="1"/>
  <c r="AN11" i="20" s="1"/>
  <c r="BK33" i="6"/>
  <c r="BL33" i="6" s="1"/>
  <c r="W11" i="20" s="1"/>
  <c r="BM33" i="6"/>
  <c r="BO33" i="6" s="1"/>
  <c r="BP33" i="6" s="1"/>
  <c r="X11" i="20" s="1"/>
  <c r="BB22" i="6"/>
  <c r="BD22" i="6" s="1"/>
  <c r="BE22" i="6" s="1"/>
  <c r="H10" i="20" s="1"/>
  <c r="AZ22" i="6"/>
  <c r="BA22" i="6" s="1"/>
  <c r="G10" i="20" s="1"/>
  <c r="AQ10" i="20"/>
  <c r="AQ27" i="6"/>
  <c r="AS27" i="6" s="1"/>
  <c r="AT27" i="6" s="1"/>
  <c r="P9" i="20" s="1"/>
  <c r="AO27" i="6"/>
  <c r="AP27" i="6" s="1"/>
  <c r="O9" i="20" s="1"/>
  <c r="AY9" i="20"/>
  <c r="AY55" i="20" s="1"/>
  <c r="BG9" i="20"/>
  <c r="BG55" i="20" s="1"/>
  <c r="FZ27" i="6"/>
  <c r="GA27" i="6" s="1"/>
  <c r="FY27" i="6"/>
  <c r="BV39" i="6"/>
  <c r="BW39" i="6" s="1"/>
  <c r="AC12" i="20" s="1"/>
  <c r="BX39" i="6"/>
  <c r="BZ39" i="6" s="1"/>
  <c r="CA39" i="6" s="1"/>
  <c r="AD12" i="20" s="1"/>
  <c r="BI12" i="20"/>
  <c r="BI58" i="20" s="1"/>
  <c r="C57" i="27" s="1"/>
  <c r="E57" i="27" s="1"/>
  <c r="DC39" i="6"/>
  <c r="DD39" i="6" s="1"/>
  <c r="AC15" i="20" s="1"/>
  <c r="DE39" i="6"/>
  <c r="DG39" i="6" s="1"/>
  <c r="DH39" i="6" s="1"/>
  <c r="AD15" i="20" s="1"/>
  <c r="BI15" i="20"/>
  <c r="BI61" i="20" s="1"/>
  <c r="C60" i="27" s="1"/>
  <c r="E60" i="27" s="1"/>
  <c r="I60" i="27" s="1"/>
  <c r="FO45" i="6"/>
  <c r="FP45" i="6" s="1"/>
  <c r="FT45" i="6" s="1"/>
  <c r="FN45" i="6"/>
  <c r="I58" i="27"/>
  <c r="EA38" i="6"/>
  <c r="EC38" i="6" s="1"/>
  <c r="ED38" i="6" s="1"/>
  <c r="AB17" i="20" s="1"/>
  <c r="DY38" i="6"/>
  <c r="DZ38" i="6" s="1"/>
  <c r="AA17" i="20" s="1"/>
  <c r="BC17" i="20"/>
  <c r="BC63" i="20" s="1"/>
  <c r="BK17" i="20"/>
  <c r="BI38" i="6"/>
  <c r="BJ38" i="6" s="1"/>
  <c r="BH38" i="6"/>
  <c r="BI32" i="6"/>
  <c r="BJ32" i="6" s="1"/>
  <c r="BN32" i="6" s="1"/>
  <c r="BH32" i="6"/>
  <c r="EH40" i="6"/>
  <c r="EI40" i="6" s="1"/>
  <c r="EM40" i="6" s="1"/>
  <c r="EG40" i="6"/>
  <c r="DL46" i="6"/>
  <c r="DM46" i="6" s="1"/>
  <c r="DQ46" i="6" s="1"/>
  <c r="DK46" i="6"/>
  <c r="BB24" i="6"/>
  <c r="BD24" i="6" s="1"/>
  <c r="BE24" i="6" s="1"/>
  <c r="J10" i="20" s="1"/>
  <c r="AZ24" i="6"/>
  <c r="BA24" i="6" s="1"/>
  <c r="I10" i="20" s="1"/>
  <c r="AS10" i="20"/>
  <c r="AD38" i="6"/>
  <c r="AE38" i="6" s="1"/>
  <c r="AA8" i="20" s="1"/>
  <c r="AF38" i="6"/>
  <c r="AH38" i="6" s="1"/>
  <c r="AI38" i="6" s="1"/>
  <c r="AB8" i="20" s="1"/>
  <c r="BK8" i="20"/>
  <c r="BC8" i="20"/>
  <c r="BC54" i="20" s="1"/>
  <c r="DP25" i="6"/>
  <c r="DN25" i="6"/>
  <c r="DO25" i="6" s="1"/>
  <c r="K16" i="20" s="1"/>
  <c r="AU16" i="20"/>
  <c r="AU57" i="20" s="1"/>
  <c r="FI30" i="6"/>
  <c r="FZ42" i="6"/>
  <c r="GA42" i="6" s="1"/>
  <c r="GE42" i="6" s="1"/>
  <c r="FY42" i="6"/>
  <c r="I11" i="27"/>
  <c r="AD30" i="6"/>
  <c r="AE30" i="6" s="1"/>
  <c r="S8" i="20" s="1"/>
  <c r="AF30" i="6"/>
  <c r="AH30" i="6" s="1"/>
  <c r="AI30" i="6" s="1"/>
  <c r="T8" i="20" s="1"/>
  <c r="AD46" i="6"/>
  <c r="AE46" i="6" s="1"/>
  <c r="AM8" i="20" s="1"/>
  <c r="AF46" i="6"/>
  <c r="AH46" i="6" s="1"/>
  <c r="AI46" i="6" s="1"/>
  <c r="AN8" i="20" s="1"/>
  <c r="AD33" i="6"/>
  <c r="AE33" i="6" s="1"/>
  <c r="W8" i="20" s="1"/>
  <c r="AF33" i="6"/>
  <c r="AH33" i="6" s="1"/>
  <c r="AI33" i="6" s="1"/>
  <c r="X8" i="20" s="1"/>
  <c r="AD22" i="6"/>
  <c r="AE22" i="6" s="1"/>
  <c r="G8" i="20" s="1"/>
  <c r="AF22" i="6"/>
  <c r="AH22" i="6" s="1"/>
  <c r="AI22" i="6" s="1"/>
  <c r="H8" i="20" s="1"/>
  <c r="AQ8" i="20"/>
  <c r="AD27" i="6"/>
  <c r="AE27" i="6" s="1"/>
  <c r="O8" i="20" s="1"/>
  <c r="AF27" i="6"/>
  <c r="AH27" i="6" s="1"/>
  <c r="AI27" i="6" s="1"/>
  <c r="P8" i="20" s="1"/>
  <c r="BG8" i="20"/>
  <c r="BG54" i="20" s="1"/>
  <c r="AY8" i="20"/>
  <c r="AY54" i="20" s="1"/>
  <c r="EX24" i="6"/>
  <c r="AT19" i="20"/>
  <c r="AT60" i="20" s="1"/>
  <c r="BV29" i="6"/>
  <c r="BW29" i="6" s="1"/>
  <c r="Q12" i="20" s="1"/>
  <c r="BX29" i="6"/>
  <c r="BZ29" i="6" s="1"/>
  <c r="CA29" i="6" s="1"/>
  <c r="R12" i="20" s="1"/>
  <c r="BA12" i="20"/>
  <c r="BA58" i="20" s="1"/>
  <c r="BB29" i="6"/>
  <c r="BD29" i="6" s="1"/>
  <c r="BE29" i="6" s="1"/>
  <c r="R10" i="20" s="1"/>
  <c r="AZ29" i="6"/>
  <c r="BA29" i="6" s="1"/>
  <c r="Q10" i="20" s="1"/>
  <c r="BA10" i="20"/>
  <c r="BA56" i="20" s="1"/>
  <c r="BI42" i="6"/>
  <c r="BJ42" i="6" s="1"/>
  <c r="BN42" i="6" s="1"/>
  <c r="BH42" i="6"/>
  <c r="DC45" i="6"/>
  <c r="DD45" i="6" s="1"/>
  <c r="AK15" i="20" s="1"/>
  <c r="DE45" i="6"/>
  <c r="BT21" i="6"/>
  <c r="BU21" i="6" s="1"/>
  <c r="BS21" i="6"/>
  <c r="FZ21" i="6"/>
  <c r="GA21" i="6" s="1"/>
  <c r="FY21" i="6"/>
  <c r="CE26" i="6"/>
  <c r="CF26" i="6" s="1"/>
  <c r="CD26" i="6"/>
  <c r="GD33" i="6"/>
  <c r="GF33" i="6" s="1"/>
  <c r="GG33" i="6" s="1"/>
  <c r="X22" i="20" s="1"/>
  <c r="GB33" i="6"/>
  <c r="GC33" i="6" s="1"/>
  <c r="W22" i="20" s="1"/>
  <c r="EU27" i="6"/>
  <c r="EV27" i="6" s="1"/>
  <c r="O19" i="20" s="1"/>
  <c r="EW27" i="6"/>
  <c r="EY27" i="6" s="1"/>
  <c r="EZ27" i="6" s="1"/>
  <c r="P19" i="20" s="1"/>
  <c r="BG19" i="20"/>
  <c r="BG65" i="20" s="1"/>
  <c r="AY19" i="20"/>
  <c r="AY65" i="20" s="1"/>
  <c r="I38" i="27"/>
  <c r="FO32" i="6"/>
  <c r="FP32" i="6" s="1"/>
  <c r="FT32" i="6" s="1"/>
  <c r="FN32" i="6"/>
  <c r="BT42" i="6"/>
  <c r="BU42" i="6" s="1"/>
  <c r="BY42" i="6" s="1"/>
  <c r="BS42" i="6"/>
  <c r="CI45" i="6"/>
  <c r="CK45" i="6" s="1"/>
  <c r="CL45" i="6" s="1"/>
  <c r="AL13" i="20" s="1"/>
  <c r="CG45" i="6"/>
  <c r="CH45" i="6" s="1"/>
  <c r="AK13" i="20" s="1"/>
  <c r="BK45" i="6"/>
  <c r="BL45" i="6" s="1"/>
  <c r="AK11" i="20" s="1"/>
  <c r="BM45" i="6"/>
  <c r="BO45" i="6" s="1"/>
  <c r="BP45" i="6" s="1"/>
  <c r="AL11" i="20" s="1"/>
  <c r="BT26" i="6"/>
  <c r="BU26" i="6" s="1"/>
  <c r="BS26" i="6"/>
  <c r="BT30" i="6"/>
  <c r="BU30" i="6" s="1"/>
  <c r="BY30" i="6" s="1"/>
  <c r="BS30" i="6"/>
  <c r="CP30" i="6"/>
  <c r="CQ30" i="6" s="1"/>
  <c r="CU30" i="6" s="1"/>
  <c r="CO30" i="6"/>
  <c r="BT37" i="6"/>
  <c r="BU37" i="6" s="1"/>
  <c r="BS37" i="6"/>
  <c r="BI37" i="6"/>
  <c r="BJ37" i="6" s="1"/>
  <c r="BH37" i="6"/>
  <c r="EA43" i="6"/>
  <c r="EC43" i="6" s="1"/>
  <c r="ED43" i="6" s="1"/>
  <c r="AJ17" i="20" s="1"/>
  <c r="DY43" i="6"/>
  <c r="DZ43" i="6" s="1"/>
  <c r="AI17" i="20" s="1"/>
  <c r="DC33" i="6"/>
  <c r="DD33" i="6" s="1"/>
  <c r="W15" i="20" s="1"/>
  <c r="DE33" i="6"/>
  <c r="DG33" i="6" s="1"/>
  <c r="DH33" i="6" s="1"/>
  <c r="X15" i="20" s="1"/>
  <c r="FO22" i="6"/>
  <c r="FP22" i="6" s="1"/>
  <c r="FN22" i="6"/>
  <c r="FO27" i="6"/>
  <c r="FP27" i="6" s="1"/>
  <c r="FN27" i="6"/>
  <c r="S39" i="6"/>
  <c r="T39" i="6" s="1"/>
  <c r="AC7" i="20" s="1"/>
  <c r="U39" i="6"/>
  <c r="W39" i="6" s="1"/>
  <c r="X39" i="6" s="1"/>
  <c r="AD7" i="20" s="1"/>
  <c r="BI7" i="20"/>
  <c r="BI53" i="20" s="1"/>
  <c r="C52" i="27" s="1"/>
  <c r="E52" i="27" s="1"/>
  <c r="I61" i="27"/>
  <c r="FO38" i="6"/>
  <c r="FP38" i="6" s="1"/>
  <c r="FN38" i="6"/>
  <c r="FZ38" i="6"/>
  <c r="GA38" i="6" s="1"/>
  <c r="FY38" i="6"/>
  <c r="I43" i="27"/>
  <c r="DW32" i="6"/>
  <c r="DX32" i="6" s="1"/>
  <c r="EB32" i="6" s="1"/>
  <c r="DV32" i="6"/>
  <c r="FD40" i="6"/>
  <c r="FE40" i="6" s="1"/>
  <c r="FI40" i="6" s="1"/>
  <c r="FC40" i="6"/>
  <c r="AQ40" i="6"/>
  <c r="AS40" i="6" s="1"/>
  <c r="AT40" i="6" s="1"/>
  <c r="AF9" i="20" s="1"/>
  <c r="AO40" i="6"/>
  <c r="AP40" i="6" s="1"/>
  <c r="AE9" i="20" s="1"/>
  <c r="BV24" i="6"/>
  <c r="BW24" i="6" s="1"/>
  <c r="I12" i="20" s="1"/>
  <c r="BX24" i="6"/>
  <c r="BZ24" i="6" s="1"/>
  <c r="CA24" i="6" s="1"/>
  <c r="J12" i="20" s="1"/>
  <c r="AS12" i="20"/>
  <c r="AS53" i="20" s="1"/>
  <c r="FS29" i="6"/>
  <c r="FU29" i="6" s="1"/>
  <c r="FV29" i="6" s="1"/>
  <c r="R21" i="20" s="1"/>
  <c r="FQ29" i="6"/>
  <c r="FR29" i="6" s="1"/>
  <c r="Q21" i="20" s="1"/>
  <c r="BA21" i="20"/>
  <c r="BA67" i="20" s="1"/>
  <c r="EU29" i="6"/>
  <c r="EV29" i="6" s="1"/>
  <c r="Q19" i="20" s="1"/>
  <c r="EW29" i="6"/>
  <c r="EY29" i="6" s="1"/>
  <c r="EZ29" i="6" s="1"/>
  <c r="R19" i="20" s="1"/>
  <c r="BA19" i="20"/>
  <c r="BA65" i="20" s="1"/>
  <c r="Q42" i="6"/>
  <c r="R42" i="6" s="1"/>
  <c r="V42" i="6" s="1"/>
  <c r="P42" i="6"/>
  <c r="AQ25" i="6"/>
  <c r="AS25" i="6" s="1"/>
  <c r="AT25" i="6" s="1"/>
  <c r="L9" i="20" s="1"/>
  <c r="AO25" i="6"/>
  <c r="AP25" i="6" s="1"/>
  <c r="K9" i="20" s="1"/>
  <c r="AU9" i="20"/>
  <c r="BB45" i="6"/>
  <c r="BD45" i="6" s="1"/>
  <c r="BE45" i="6" s="1"/>
  <c r="AL10" i="20" s="1"/>
  <c r="AZ45" i="6"/>
  <c r="BA45" i="6" s="1"/>
  <c r="AK10" i="20" s="1"/>
  <c r="BB32" i="6"/>
  <c r="BD32" i="6" s="1"/>
  <c r="BE32" i="6" s="1"/>
  <c r="V10" i="20" s="1"/>
  <c r="AZ32" i="6"/>
  <c r="BA32" i="6" s="1"/>
  <c r="U10" i="20" s="1"/>
  <c r="DW21" i="6"/>
  <c r="DX21" i="6" s="1"/>
  <c r="DV21" i="6"/>
  <c r="Q26" i="6"/>
  <c r="R26" i="6" s="1"/>
  <c r="P26" i="6"/>
  <c r="AQ30" i="6"/>
  <c r="AO30" i="6"/>
  <c r="AP30" i="6" s="1"/>
  <c r="S9" i="20" s="1"/>
  <c r="ES30" i="6"/>
  <c r="ET30" i="6" s="1"/>
  <c r="EX30" i="6" s="1"/>
  <c r="ER30" i="6"/>
  <c r="BI43" i="6"/>
  <c r="BJ43" i="6" s="1"/>
  <c r="BN43" i="6" s="1"/>
  <c r="BH43" i="6"/>
  <c r="AX37" i="6"/>
  <c r="AY37" i="6" s="1"/>
  <c r="AW37" i="6"/>
  <c r="CI43" i="6"/>
  <c r="CK43" i="6" s="1"/>
  <c r="CL43" i="6" s="1"/>
  <c r="AJ13" i="20" s="1"/>
  <c r="CG43" i="6"/>
  <c r="CH43" i="6" s="1"/>
  <c r="AI13" i="20" s="1"/>
  <c r="BV33" i="6"/>
  <c r="BW33" i="6" s="1"/>
  <c r="W12" i="20" s="1"/>
  <c r="BX33" i="6"/>
  <c r="BZ33" i="6" s="1"/>
  <c r="CA33" i="6" s="1"/>
  <c r="X12" i="20" s="1"/>
  <c r="EA22" i="6"/>
  <c r="EC22" i="6" s="1"/>
  <c r="ED22" i="6" s="1"/>
  <c r="H17" i="20" s="1"/>
  <c r="DY22" i="6"/>
  <c r="DZ22" i="6" s="1"/>
  <c r="G17" i="20" s="1"/>
  <c r="AQ17" i="20"/>
  <c r="AQ58" i="20" s="1"/>
  <c r="DA22" i="6"/>
  <c r="DB22" i="6" s="1"/>
  <c r="CZ22" i="6"/>
  <c r="AF9" i="24"/>
  <c r="AF11" i="24" s="1"/>
  <c r="AB9" i="24"/>
  <c r="AB11" i="24" s="1"/>
  <c r="X9" i="24"/>
  <c r="X11" i="24" s="1"/>
  <c r="T9" i="24"/>
  <c r="T11" i="24" s="1"/>
  <c r="AE9" i="24"/>
  <c r="AE11" i="24" s="1"/>
  <c r="AA9" i="24"/>
  <c r="AA11" i="24" s="1"/>
  <c r="W9" i="24"/>
  <c r="W11" i="24" s="1"/>
  <c r="S9" i="24"/>
  <c r="S11" i="24" s="1"/>
  <c r="E10" i="24"/>
  <c r="E12" i="24" s="1"/>
  <c r="AD9" i="24"/>
  <c r="AD11" i="24" s="1"/>
  <c r="Z9" i="24"/>
  <c r="Z11" i="24" s="1"/>
  <c r="V9" i="24"/>
  <c r="V11" i="24" s="1"/>
  <c r="R9" i="24"/>
  <c r="R11" i="24" s="1"/>
  <c r="AC9" i="24"/>
  <c r="AC11" i="24" s="1"/>
  <c r="Y9" i="24"/>
  <c r="Y11" i="24" s="1"/>
  <c r="U9" i="24"/>
  <c r="U11" i="24" s="1"/>
  <c r="Q9" i="24"/>
  <c r="Q11" i="24" s="1"/>
  <c r="EL27" i="6"/>
  <c r="EN27" i="6" s="1"/>
  <c r="EO27" i="6" s="1"/>
  <c r="P18" i="20" s="1"/>
  <c r="EJ27" i="6"/>
  <c r="EK27" i="6" s="1"/>
  <c r="O18" i="20" s="1"/>
  <c r="AY18" i="20"/>
  <c r="AY64" i="20" s="1"/>
  <c r="BG18" i="20"/>
  <c r="BG64" i="20" s="1"/>
  <c r="Q27" i="6"/>
  <c r="R27" i="6" s="1"/>
  <c r="P27" i="6"/>
  <c r="EU39" i="6"/>
  <c r="EV39" i="6" s="1"/>
  <c r="AC19" i="20" s="1"/>
  <c r="EW39" i="6"/>
  <c r="EY39" i="6" s="1"/>
  <c r="EZ39" i="6" s="1"/>
  <c r="AD19" i="20" s="1"/>
  <c r="BI19" i="20"/>
  <c r="BI65" i="20" s="1"/>
  <c r="C64" i="27" s="1"/>
  <c r="E64" i="27" s="1"/>
  <c r="I64" i="27" s="1"/>
  <c r="FZ45" i="6"/>
  <c r="GA45" i="6" s="1"/>
  <c r="GE45" i="6" s="1"/>
  <c r="FY45" i="6"/>
  <c r="I57" i="27"/>
  <c r="AQ38" i="6"/>
  <c r="AS38" i="6" s="1"/>
  <c r="AT38" i="6" s="1"/>
  <c r="AB9" i="20" s="1"/>
  <c r="AO38" i="6"/>
  <c r="AP38" i="6" s="1"/>
  <c r="AA9" i="20" s="1"/>
  <c r="BK9" i="20"/>
  <c r="BC9" i="20"/>
  <c r="BC55" i="20" s="1"/>
  <c r="ES38" i="6"/>
  <c r="ET38" i="6" s="1"/>
  <c r="ER38" i="6"/>
  <c r="BT32" i="6"/>
  <c r="BU32" i="6" s="1"/>
  <c r="BY32" i="6" s="1"/>
  <c r="BS32" i="6"/>
  <c r="AX40" i="6"/>
  <c r="AY40" i="6" s="1"/>
  <c r="BC40" i="6" s="1"/>
  <c r="AW40" i="6"/>
  <c r="CE46" i="6"/>
  <c r="CF46" i="6" s="1"/>
  <c r="CJ46" i="6" s="1"/>
  <c r="CD46" i="6"/>
  <c r="FD33" i="6"/>
  <c r="FE33" i="6" s="1"/>
  <c r="FI33" i="6" s="1"/>
  <c r="FC33" i="6"/>
  <c r="E63" i="27"/>
  <c r="I63" i="27" s="1"/>
  <c r="DQ25" i="6"/>
  <c r="AV16" i="20"/>
  <c r="AV57" i="20" s="1"/>
  <c r="AD25" i="6"/>
  <c r="AE25" i="6" s="1"/>
  <c r="K8" i="20" s="1"/>
  <c r="AF25" i="6"/>
  <c r="AH25" i="6" s="1"/>
  <c r="AI25" i="6" s="1"/>
  <c r="L8" i="20" s="1"/>
  <c r="AU8" i="20"/>
  <c r="EU45" i="6"/>
  <c r="EV45" i="6" s="1"/>
  <c r="AK19" i="20" s="1"/>
  <c r="EW45" i="6"/>
  <c r="EY45" i="6" s="1"/>
  <c r="EZ45" i="6" s="1"/>
  <c r="AL19" i="20" s="1"/>
  <c r="FZ26" i="6"/>
  <c r="GA26" i="6" s="1"/>
  <c r="FY26" i="6"/>
  <c r="AD37" i="6"/>
  <c r="AE37" i="6" s="1"/>
  <c r="Y8" i="20" s="1"/>
  <c r="AF37" i="6"/>
  <c r="AH37" i="6" s="1"/>
  <c r="AI37" i="6" s="1"/>
  <c r="Z8" i="20" s="1"/>
  <c r="BE8" i="20"/>
  <c r="BE54" i="20" s="1"/>
  <c r="C37" i="27" s="1"/>
  <c r="E37" i="27" s="1"/>
  <c r="I37" i="27" s="1"/>
  <c r="S46" i="6"/>
  <c r="T46" i="6" s="1"/>
  <c r="AM7" i="20" s="1"/>
  <c r="U46" i="6"/>
  <c r="W46" i="6" s="1"/>
  <c r="X46" i="6" s="1"/>
  <c r="AN7" i="20" s="1"/>
  <c r="AQ33" i="6"/>
  <c r="AS33" i="6" s="1"/>
  <c r="AT33" i="6" s="1"/>
  <c r="X9" i="20" s="1"/>
  <c r="AO33" i="6"/>
  <c r="AP33" i="6" s="1"/>
  <c r="W9" i="20" s="1"/>
  <c r="I21" i="27"/>
  <c r="EA29" i="6"/>
  <c r="EC29" i="6" s="1"/>
  <c r="ED29" i="6" s="1"/>
  <c r="R17" i="20" s="1"/>
  <c r="DY29" i="6"/>
  <c r="DZ29" i="6" s="1"/>
  <c r="Q17" i="20" s="1"/>
  <c r="BA17" i="20"/>
  <c r="BA63" i="20" s="1"/>
  <c r="BK29" i="6"/>
  <c r="BL29" i="6" s="1"/>
  <c r="Q11" i="20" s="1"/>
  <c r="BM29" i="6"/>
  <c r="BO29" i="6" s="1"/>
  <c r="BP29" i="6" s="1"/>
  <c r="R11" i="20" s="1"/>
  <c r="BA11" i="20"/>
  <c r="BA57" i="20" s="1"/>
  <c r="ES42" i="6"/>
  <c r="ET42" i="6" s="1"/>
  <c r="EX42" i="6" s="1"/>
  <c r="ER42" i="6"/>
  <c r="DN45" i="6"/>
  <c r="DO45" i="6" s="1"/>
  <c r="AK16" i="20" s="1"/>
  <c r="DP45" i="6"/>
  <c r="DR45" i="6" s="1"/>
  <c r="DS45" i="6" s="1"/>
  <c r="AL16" i="20" s="1"/>
  <c r="EL32" i="6"/>
  <c r="EN32" i="6" s="1"/>
  <c r="EO32" i="6" s="1"/>
  <c r="V18" i="20" s="1"/>
  <c r="EJ32" i="6"/>
  <c r="EK32" i="6" s="1"/>
  <c r="U18" i="20" s="1"/>
  <c r="FO21" i="6"/>
  <c r="FP21" i="6" s="1"/>
  <c r="FN21" i="6"/>
  <c r="DA21" i="6"/>
  <c r="DB21" i="6" s="1"/>
  <c r="CZ21" i="6"/>
  <c r="BK26" i="6"/>
  <c r="BL26" i="6" s="1"/>
  <c r="M11" i="20" s="1"/>
  <c r="BM26" i="6"/>
  <c r="BO26" i="6" s="1"/>
  <c r="BP26" i="6" s="1"/>
  <c r="N11" i="20" s="1"/>
  <c r="AW11" i="20"/>
  <c r="AW57" i="20" s="1"/>
  <c r="C24" i="27" s="1"/>
  <c r="E24" i="27" s="1"/>
  <c r="I24" i="27" s="1"/>
  <c r="EU33" i="6"/>
  <c r="EV33" i="6" s="1"/>
  <c r="W19" i="20" s="1"/>
  <c r="EW33" i="6"/>
  <c r="EY33" i="6" s="1"/>
  <c r="EZ33" i="6" s="1"/>
  <c r="X19" i="20" s="1"/>
  <c r="S22" i="6"/>
  <c r="T22" i="6" s="1"/>
  <c r="G7" i="20" s="1"/>
  <c r="U22" i="6"/>
  <c r="W22" i="6" s="1"/>
  <c r="X22" i="6" s="1"/>
  <c r="H7" i="20" s="1"/>
  <c r="AQ7" i="20"/>
  <c r="FS39" i="6"/>
  <c r="FU39" i="6" s="1"/>
  <c r="FV39" i="6" s="1"/>
  <c r="AD21" i="20" s="1"/>
  <c r="FQ39" i="6"/>
  <c r="FR39" i="6" s="1"/>
  <c r="AC21" i="20" s="1"/>
  <c r="BI21" i="20"/>
  <c r="BI67" i="20" s="1"/>
  <c r="C66" i="27" s="1"/>
  <c r="E66" i="27" s="1"/>
  <c r="BB39" i="6"/>
  <c r="BD39" i="6" s="1"/>
  <c r="BE39" i="6" s="1"/>
  <c r="AD10" i="20" s="1"/>
  <c r="AZ39" i="6"/>
  <c r="BA39" i="6" s="1"/>
  <c r="AC10" i="20" s="1"/>
  <c r="BI10" i="20"/>
  <c r="BI56" i="20" s="1"/>
  <c r="C55" i="27" s="1"/>
  <c r="E55" i="27" s="1"/>
  <c r="I55" i="27" s="1"/>
  <c r="I66" i="27"/>
  <c r="FZ40" i="6"/>
  <c r="GA40" i="6" s="1"/>
  <c r="GE40" i="6" s="1"/>
  <c r="FY40" i="6"/>
  <c r="CP42" i="6"/>
  <c r="CQ42" i="6" s="1"/>
  <c r="CU42" i="6" s="1"/>
  <c r="CO42" i="6"/>
  <c r="BI21" i="6"/>
  <c r="BJ21" i="6" s="1"/>
  <c r="BH21" i="6"/>
  <c r="EH26" i="6"/>
  <c r="EI26" i="6" s="1"/>
  <c r="EG26" i="6"/>
  <c r="ES26" i="6"/>
  <c r="ET26" i="6" s="1"/>
  <c r="ER26" i="6"/>
  <c r="FO30" i="6"/>
  <c r="FP30" i="6" s="1"/>
  <c r="FT30" i="6" s="1"/>
  <c r="FN30" i="6"/>
  <c r="FZ30" i="6"/>
  <c r="GA30" i="6" s="1"/>
  <c r="GE30" i="6" s="1"/>
  <c r="FY30" i="6"/>
  <c r="FO37" i="6"/>
  <c r="FP37" i="6" s="1"/>
  <c r="FN37" i="6"/>
  <c r="ES37" i="6"/>
  <c r="ET37" i="6" s="1"/>
  <c r="ER37" i="6"/>
  <c r="EL46" i="6"/>
  <c r="EN46" i="6" s="1"/>
  <c r="EO46" i="6" s="1"/>
  <c r="AN18" i="20" s="1"/>
  <c r="EJ46" i="6"/>
  <c r="EK46" i="6" s="1"/>
  <c r="AM18" i="20" s="1"/>
  <c r="DN33" i="6"/>
  <c r="DO33" i="6" s="1"/>
  <c r="W16" i="20" s="1"/>
  <c r="DP33" i="6"/>
  <c r="DR33" i="6" s="1"/>
  <c r="DS33" i="6" s="1"/>
  <c r="X16" i="20" s="1"/>
  <c r="DN22" i="6"/>
  <c r="DO22" i="6" s="1"/>
  <c r="G16" i="20" s="1"/>
  <c r="DP22" i="6"/>
  <c r="DR22" i="6" s="1"/>
  <c r="DS22" i="6" s="1"/>
  <c r="H16" i="20" s="1"/>
  <c r="AQ16" i="20"/>
  <c r="AQ57" i="20" s="1"/>
  <c r="CE22" i="6"/>
  <c r="CF22" i="6" s="1"/>
  <c r="CD22" i="6"/>
  <c r="DN27" i="6"/>
  <c r="DO27" i="6" s="1"/>
  <c r="O16" i="20" s="1"/>
  <c r="DP27" i="6"/>
  <c r="DR27" i="6" s="1"/>
  <c r="DS27" i="6" s="1"/>
  <c r="P16" i="20" s="1"/>
  <c r="BG16" i="20"/>
  <c r="BG62" i="20" s="1"/>
  <c r="AY16" i="20"/>
  <c r="AY62" i="20" s="1"/>
  <c r="CE27" i="6"/>
  <c r="CF27" i="6" s="1"/>
  <c r="CD27" i="6"/>
  <c r="FH39" i="6"/>
  <c r="FJ39" i="6" s="1"/>
  <c r="FK39" i="6" s="1"/>
  <c r="AD20" i="20" s="1"/>
  <c r="FF39" i="6"/>
  <c r="FG39" i="6" s="1"/>
  <c r="AC20" i="20" s="1"/>
  <c r="BI20" i="20"/>
  <c r="BI66" i="20" s="1"/>
  <c r="C65" i="27" s="1"/>
  <c r="E65" i="27" s="1"/>
  <c r="I65" i="27" s="1"/>
  <c r="I56" i="27"/>
  <c r="DN38" i="6"/>
  <c r="DO38" i="6" s="1"/>
  <c r="AA16" i="20" s="1"/>
  <c r="DP38" i="6"/>
  <c r="DR38" i="6" s="1"/>
  <c r="DS38" i="6" s="1"/>
  <c r="AB16" i="20" s="1"/>
  <c r="BK16" i="20"/>
  <c r="BC16" i="20"/>
  <c r="BC62" i="20" s="1"/>
  <c r="CE38" i="6"/>
  <c r="CF38" i="6" s="1"/>
  <c r="CD38" i="6"/>
  <c r="CP32" i="6"/>
  <c r="CQ32" i="6" s="1"/>
  <c r="CU32" i="6" s="1"/>
  <c r="CO32" i="6"/>
  <c r="FO40" i="6"/>
  <c r="FP40" i="6" s="1"/>
  <c r="FT40" i="6" s="1"/>
  <c r="FN40" i="6"/>
  <c r="BI40" i="6"/>
  <c r="BJ40" i="6" s="1"/>
  <c r="BN40" i="6" s="1"/>
  <c r="BH40" i="6"/>
  <c r="EA24" i="6"/>
  <c r="EC24" i="6" s="1"/>
  <c r="ED24" i="6" s="1"/>
  <c r="J17" i="20" s="1"/>
  <c r="DY24" i="6"/>
  <c r="DZ24" i="6" s="1"/>
  <c r="I17" i="20" s="1"/>
  <c r="AS17" i="20"/>
  <c r="AS58" i="20" s="1"/>
  <c r="CI29" i="6"/>
  <c r="CK29" i="6" s="1"/>
  <c r="CL29" i="6" s="1"/>
  <c r="R13" i="20" s="1"/>
  <c r="CG29" i="6"/>
  <c r="CH29" i="6" s="1"/>
  <c r="Q13" i="20" s="1"/>
  <c r="BA13" i="20"/>
  <c r="BA59" i="20" s="1"/>
  <c r="AB42" i="6"/>
  <c r="AC42" i="6" s="1"/>
  <c r="AG42" i="6" s="1"/>
  <c r="AA42" i="6"/>
  <c r="BX25" i="6"/>
  <c r="BZ25" i="6" s="1"/>
  <c r="CA25" i="6" s="1"/>
  <c r="L12" i="20" s="1"/>
  <c r="BV25" i="6"/>
  <c r="BW25" i="6" s="1"/>
  <c r="K12" i="20" s="1"/>
  <c r="AU12" i="20"/>
  <c r="AU53" i="20" s="1"/>
  <c r="DW25" i="6"/>
  <c r="DX25" i="6" s="1"/>
  <c r="DV25" i="6"/>
  <c r="S45" i="6"/>
  <c r="T45" i="6" s="1"/>
  <c r="AK7" i="20" s="1"/>
  <c r="U45" i="6"/>
  <c r="W45" i="6" s="1"/>
  <c r="X45" i="6" s="1"/>
  <c r="AL7" i="20" s="1"/>
  <c r="S32" i="6"/>
  <c r="T32" i="6" s="1"/>
  <c r="U7" i="20" s="1"/>
  <c r="U32" i="6"/>
  <c r="W32" i="6" s="1"/>
  <c r="X32" i="6" s="1"/>
  <c r="V7" i="20" s="1"/>
  <c r="AM21" i="6"/>
  <c r="AN21" i="6" s="1"/>
  <c r="AL21" i="6"/>
  <c r="FD26" i="6"/>
  <c r="FE26" i="6" s="1"/>
  <c r="FC26" i="6"/>
  <c r="EL30" i="6"/>
  <c r="EN30" i="6" s="1"/>
  <c r="EO30" i="6" s="1"/>
  <c r="T18" i="20" s="1"/>
  <c r="EJ30" i="6"/>
  <c r="EK30" i="6" s="1"/>
  <c r="S18" i="20" s="1"/>
  <c r="DL43" i="6"/>
  <c r="DM43" i="6" s="1"/>
  <c r="DQ43" i="6" s="1"/>
  <c r="DK43" i="6"/>
  <c r="EA37" i="6"/>
  <c r="EC37" i="6" s="1"/>
  <c r="ED37" i="6" s="1"/>
  <c r="Z17" i="20" s="1"/>
  <c r="DY37" i="6"/>
  <c r="DZ37" i="6" s="1"/>
  <c r="Y17" i="20" s="1"/>
  <c r="BE17" i="20"/>
  <c r="BE63" i="20" s="1"/>
  <c r="C46" i="27" s="1"/>
  <c r="E46" i="27" s="1"/>
  <c r="I46" i="27" s="1"/>
  <c r="CT46" i="6"/>
  <c r="CV46" i="6" s="1"/>
  <c r="CW46" i="6" s="1"/>
  <c r="AN14" i="20" s="1"/>
  <c r="CR46" i="6"/>
  <c r="CS46" i="6" s="1"/>
  <c r="AM14" i="20" s="1"/>
  <c r="CI33" i="6"/>
  <c r="CK33" i="6" s="1"/>
  <c r="CL33" i="6" s="1"/>
  <c r="X13" i="20" s="1"/>
  <c r="CG33" i="6"/>
  <c r="CH33" i="6" s="1"/>
  <c r="W13" i="20" s="1"/>
  <c r="AQ22" i="6"/>
  <c r="AS22" i="6" s="1"/>
  <c r="AT22" i="6" s="1"/>
  <c r="H9" i="20" s="1"/>
  <c r="AO22" i="6"/>
  <c r="AP22" i="6" s="1"/>
  <c r="G9" i="20" s="1"/>
  <c r="AQ9" i="20"/>
  <c r="BI22" i="6"/>
  <c r="BJ22" i="6" s="1"/>
  <c r="BH22" i="6"/>
  <c r="BB27" i="6"/>
  <c r="BD27" i="6" s="1"/>
  <c r="BE27" i="6" s="1"/>
  <c r="P10" i="20" s="1"/>
  <c r="AZ27" i="6"/>
  <c r="BA27" i="6" s="1"/>
  <c r="O10" i="20" s="1"/>
  <c r="AY10" i="20"/>
  <c r="AY56" i="20" s="1"/>
  <c r="BG10" i="20"/>
  <c r="BG56" i="20" s="1"/>
  <c r="AQ39" i="6"/>
  <c r="AS39" i="6" s="1"/>
  <c r="AT39" i="6" s="1"/>
  <c r="AD9" i="20" s="1"/>
  <c r="AO39" i="6"/>
  <c r="AP39" i="6" s="1"/>
  <c r="AC9" i="20" s="1"/>
  <c r="BI9" i="20"/>
  <c r="BI55" i="20" s="1"/>
  <c r="C54" i="27" s="1"/>
  <c r="E54" i="27" s="1"/>
  <c r="I54" i="27" s="1"/>
  <c r="I52" i="27"/>
  <c r="EL38" i="6"/>
  <c r="EN38" i="6" s="1"/>
  <c r="EO38" i="6" s="1"/>
  <c r="AB18" i="20" s="1"/>
  <c r="EJ38" i="6"/>
  <c r="EK38" i="6" s="1"/>
  <c r="AA18" i="20" s="1"/>
  <c r="BK18" i="20"/>
  <c r="BC18" i="20"/>
  <c r="BC64" i="20" s="1"/>
  <c r="I44" i="27"/>
  <c r="CE32" i="6"/>
  <c r="CF32" i="6" s="1"/>
  <c r="CJ32" i="6" s="1"/>
  <c r="CD32" i="6"/>
  <c r="BX40" i="6"/>
  <c r="BZ40" i="6" s="1"/>
  <c r="CA40" i="6" s="1"/>
  <c r="AF12" i="20" s="1"/>
  <c r="BV40" i="6"/>
  <c r="BW40" i="6" s="1"/>
  <c r="AE12" i="20" s="1"/>
  <c r="AB40" i="6"/>
  <c r="AC40" i="6" s="1"/>
  <c r="AG40" i="6" s="1"/>
  <c r="AA40" i="6"/>
  <c r="DL24" i="6"/>
  <c r="DM24" i="6" s="1"/>
  <c r="DK24" i="6"/>
  <c r="FO33" i="6"/>
  <c r="FP33" i="6" s="1"/>
  <c r="FT33" i="6" s="1"/>
  <c r="FN33" i="6"/>
  <c r="E67" i="27"/>
  <c r="I67" i="27" s="1"/>
  <c r="I51" i="27"/>
  <c r="AR30" i="6"/>
  <c r="CI32" i="6" l="1"/>
  <c r="CK32" i="6" s="1"/>
  <c r="CL32" i="6" s="1"/>
  <c r="V13" i="20" s="1"/>
  <c r="CG32" i="6"/>
  <c r="CH32" i="6" s="1"/>
  <c r="U13" i="20" s="1"/>
  <c r="BN22" i="6"/>
  <c r="AR11" i="20"/>
  <c r="FI26" i="6"/>
  <c r="AX20" i="20"/>
  <c r="AX66" i="20" s="1"/>
  <c r="D33" i="27" s="1"/>
  <c r="EB25" i="6"/>
  <c r="AV17" i="20"/>
  <c r="AV58" i="20" s="1"/>
  <c r="AD42" i="6"/>
  <c r="AE42" i="6" s="1"/>
  <c r="AG8" i="20" s="1"/>
  <c r="AF42" i="6"/>
  <c r="AH42" i="6" s="1"/>
  <c r="AI42" i="6" s="1"/>
  <c r="AH8" i="20" s="1"/>
  <c r="BK40" i="6"/>
  <c r="BL40" i="6" s="1"/>
  <c r="AE11" i="20" s="1"/>
  <c r="BM40" i="6"/>
  <c r="BO40" i="6" s="1"/>
  <c r="BP40" i="6" s="1"/>
  <c r="AF11" i="20" s="1"/>
  <c r="CI38" i="6"/>
  <c r="CG38" i="6"/>
  <c r="CH38" i="6" s="1"/>
  <c r="AA13" i="20" s="1"/>
  <c r="BK13" i="20"/>
  <c r="BC13" i="20"/>
  <c r="BC59" i="20" s="1"/>
  <c r="CI22" i="6"/>
  <c r="CG22" i="6"/>
  <c r="CH22" i="6" s="1"/>
  <c r="G13" i="20" s="1"/>
  <c r="AQ13" i="20"/>
  <c r="AQ54" i="20" s="1"/>
  <c r="FT37" i="6"/>
  <c r="BF21" i="20"/>
  <c r="BF67" i="20" s="1"/>
  <c r="D50" i="27" s="1"/>
  <c r="EM26" i="6"/>
  <c r="AX18" i="20"/>
  <c r="AX64" i="20" s="1"/>
  <c r="D31" i="27" s="1"/>
  <c r="CT42" i="6"/>
  <c r="CV42" i="6" s="1"/>
  <c r="CW42" i="6" s="1"/>
  <c r="AH14" i="20" s="1"/>
  <c r="CR42" i="6"/>
  <c r="CS42" i="6" s="1"/>
  <c r="AG14" i="20" s="1"/>
  <c r="FS21" i="6"/>
  <c r="FQ21" i="6"/>
  <c r="FR21" i="6" s="1"/>
  <c r="E21" i="20" s="1"/>
  <c r="AO21" i="20"/>
  <c r="AO67" i="20" s="1"/>
  <c r="C18" i="27" s="1"/>
  <c r="GE26" i="6"/>
  <c r="AX22" i="20"/>
  <c r="AX68" i="20" s="1"/>
  <c r="D35" i="27" s="1"/>
  <c r="GD45" i="6"/>
  <c r="GF45" i="6" s="1"/>
  <c r="GG45" i="6" s="1"/>
  <c r="AL22" i="20" s="1"/>
  <c r="GB45" i="6"/>
  <c r="GC45" i="6" s="1"/>
  <c r="AK22" i="20" s="1"/>
  <c r="BX46" i="24"/>
  <c r="BZ46" i="24" s="1"/>
  <c r="CA46" i="24" s="1"/>
  <c r="AN38" i="20" s="1"/>
  <c r="BX40" i="24"/>
  <c r="BZ40" i="24" s="1"/>
  <c r="CA40" i="24" s="1"/>
  <c r="AF38" i="20" s="1"/>
  <c r="BX22" i="24"/>
  <c r="BZ22" i="24" s="1"/>
  <c r="CA22" i="24" s="1"/>
  <c r="H38" i="20" s="1"/>
  <c r="BX25" i="24"/>
  <c r="BZ25" i="24" s="1"/>
  <c r="CA25" i="24" s="1"/>
  <c r="L38" i="20" s="1"/>
  <c r="BX33" i="24"/>
  <c r="BZ33" i="24" s="1"/>
  <c r="CA33" i="24" s="1"/>
  <c r="X38" i="20" s="1"/>
  <c r="BX43" i="24"/>
  <c r="BZ43" i="24" s="1"/>
  <c r="CA43" i="24" s="1"/>
  <c r="AJ38" i="20" s="1"/>
  <c r="BX30" i="24"/>
  <c r="BZ30" i="24" s="1"/>
  <c r="CA30" i="24" s="1"/>
  <c r="T38" i="20" s="1"/>
  <c r="BX38" i="24"/>
  <c r="BZ38" i="24" s="1"/>
  <c r="CA38" i="24" s="1"/>
  <c r="AB38" i="20" s="1"/>
  <c r="BX27" i="24"/>
  <c r="BZ27" i="24" s="1"/>
  <c r="CA27" i="24" s="1"/>
  <c r="P38" i="20" s="1"/>
  <c r="CI33" i="24"/>
  <c r="CK33" i="24" s="1"/>
  <c r="CL33" i="24" s="1"/>
  <c r="X39" i="20" s="1"/>
  <c r="CI46" i="24"/>
  <c r="CK46" i="24" s="1"/>
  <c r="CL46" i="24" s="1"/>
  <c r="AN39" i="20" s="1"/>
  <c r="CI30" i="24"/>
  <c r="CK30" i="24" s="1"/>
  <c r="CL30" i="24" s="1"/>
  <c r="T39" i="20" s="1"/>
  <c r="CI25" i="24"/>
  <c r="CK25" i="24" s="1"/>
  <c r="CL25" i="24" s="1"/>
  <c r="L39" i="20" s="1"/>
  <c r="CI22" i="24"/>
  <c r="CK22" i="24" s="1"/>
  <c r="CL22" i="24" s="1"/>
  <c r="H39" i="20" s="1"/>
  <c r="CI43" i="24"/>
  <c r="CK43" i="24" s="1"/>
  <c r="CL43" i="24" s="1"/>
  <c r="AJ39" i="20" s="1"/>
  <c r="CI40" i="24"/>
  <c r="CK40" i="24" s="1"/>
  <c r="CL40" i="24" s="1"/>
  <c r="AF39" i="20" s="1"/>
  <c r="CI27" i="24"/>
  <c r="CK27" i="24" s="1"/>
  <c r="CL27" i="24" s="1"/>
  <c r="P39" i="20" s="1"/>
  <c r="CI38" i="24"/>
  <c r="CK38" i="24" s="1"/>
  <c r="CL38" i="24" s="1"/>
  <c r="AB39" i="20" s="1"/>
  <c r="BB46" i="24"/>
  <c r="BD46" i="24" s="1"/>
  <c r="BE46" i="24" s="1"/>
  <c r="AN36" i="20" s="1"/>
  <c r="BB22" i="24"/>
  <c r="BD22" i="24" s="1"/>
  <c r="BE22" i="24" s="1"/>
  <c r="H36" i="20" s="1"/>
  <c r="BB38" i="24"/>
  <c r="BD38" i="24" s="1"/>
  <c r="BE38" i="24" s="1"/>
  <c r="AB36" i="20" s="1"/>
  <c r="BB40" i="24"/>
  <c r="BD40" i="24" s="1"/>
  <c r="BE40" i="24" s="1"/>
  <c r="AF36" i="20" s="1"/>
  <c r="BB30" i="24"/>
  <c r="BD30" i="24" s="1"/>
  <c r="BE30" i="24" s="1"/>
  <c r="T36" i="20" s="1"/>
  <c r="BB27" i="24"/>
  <c r="BD27" i="24" s="1"/>
  <c r="BE27" i="24" s="1"/>
  <c r="P36" i="20" s="1"/>
  <c r="BB25" i="24"/>
  <c r="BD25" i="24" s="1"/>
  <c r="BE25" i="24" s="1"/>
  <c r="L36" i="20" s="1"/>
  <c r="BB33" i="24"/>
  <c r="BD33" i="24" s="1"/>
  <c r="BE33" i="24" s="1"/>
  <c r="X36" i="20" s="1"/>
  <c r="BB43" i="24"/>
  <c r="BD43" i="24" s="1"/>
  <c r="BE43" i="24" s="1"/>
  <c r="AJ36" i="20" s="1"/>
  <c r="BM25" i="24"/>
  <c r="BO25" i="24" s="1"/>
  <c r="BP25" i="24" s="1"/>
  <c r="L37" i="20" s="1"/>
  <c r="BM43" i="24"/>
  <c r="BO43" i="24" s="1"/>
  <c r="BP43" i="24" s="1"/>
  <c r="AJ37" i="20" s="1"/>
  <c r="BM33" i="24"/>
  <c r="BO33" i="24" s="1"/>
  <c r="BP33" i="24" s="1"/>
  <c r="X37" i="20" s="1"/>
  <c r="BM22" i="24"/>
  <c r="BO22" i="24" s="1"/>
  <c r="BP22" i="24" s="1"/>
  <c r="H37" i="20" s="1"/>
  <c r="BM46" i="24"/>
  <c r="BO46" i="24" s="1"/>
  <c r="BP46" i="24" s="1"/>
  <c r="AN37" i="20" s="1"/>
  <c r="BM27" i="24"/>
  <c r="BO27" i="24" s="1"/>
  <c r="BP27" i="24" s="1"/>
  <c r="P37" i="20" s="1"/>
  <c r="BM40" i="24"/>
  <c r="BO40" i="24" s="1"/>
  <c r="BP40" i="24" s="1"/>
  <c r="AF37" i="20" s="1"/>
  <c r="BM30" i="24"/>
  <c r="BO30" i="24" s="1"/>
  <c r="BP30" i="24" s="1"/>
  <c r="T37" i="20" s="1"/>
  <c r="BM38" i="24"/>
  <c r="BO38" i="24" s="1"/>
  <c r="BP38" i="24" s="1"/>
  <c r="AB37" i="20" s="1"/>
  <c r="DC22" i="6"/>
  <c r="DD22" i="6" s="1"/>
  <c r="G15" i="20" s="1"/>
  <c r="DE22" i="6"/>
  <c r="AQ15" i="20"/>
  <c r="AQ56" i="20" s="1"/>
  <c r="AS30" i="6"/>
  <c r="AT30" i="6" s="1"/>
  <c r="T9" i="20" s="1"/>
  <c r="EA21" i="6"/>
  <c r="DY21" i="6"/>
  <c r="DZ21" i="6" s="1"/>
  <c r="E17" i="20" s="1"/>
  <c r="AO17" i="20"/>
  <c r="AO63" i="20" s="1"/>
  <c r="C14" i="27" s="1"/>
  <c r="GD38" i="6"/>
  <c r="GB38" i="6"/>
  <c r="GC38" i="6" s="1"/>
  <c r="AA22" i="20" s="1"/>
  <c r="BK22" i="20"/>
  <c r="BC22" i="20"/>
  <c r="BC68" i="20" s="1"/>
  <c r="FS27" i="6"/>
  <c r="FQ27" i="6"/>
  <c r="FR27" i="6" s="1"/>
  <c r="O21" i="20" s="1"/>
  <c r="BG21" i="20"/>
  <c r="BG67" i="20" s="1"/>
  <c r="AY21" i="20"/>
  <c r="AY67" i="20" s="1"/>
  <c r="BK37" i="6"/>
  <c r="BL37" i="6" s="1"/>
  <c r="Y11" i="20" s="1"/>
  <c r="BM37" i="6"/>
  <c r="BE11" i="20"/>
  <c r="BE57" i="20" s="1"/>
  <c r="C40" i="27" s="1"/>
  <c r="CT30" i="6"/>
  <c r="CV30" i="6" s="1"/>
  <c r="CW30" i="6" s="1"/>
  <c r="T14" i="20" s="1"/>
  <c r="CR30" i="6"/>
  <c r="CS30" i="6" s="1"/>
  <c r="S14" i="20" s="1"/>
  <c r="BX26" i="6"/>
  <c r="BV26" i="6"/>
  <c r="BW26" i="6" s="1"/>
  <c r="M12" i="20" s="1"/>
  <c r="AW12" i="20"/>
  <c r="AW58" i="20" s="1"/>
  <c r="C25" i="27" s="1"/>
  <c r="CI26" i="6"/>
  <c r="CG26" i="6"/>
  <c r="CH26" i="6" s="1"/>
  <c r="M13" i="20" s="1"/>
  <c r="AW13" i="20"/>
  <c r="AW59" i="20" s="1"/>
  <c r="C26" i="27" s="1"/>
  <c r="GE21" i="6"/>
  <c r="AP22" i="20"/>
  <c r="AP68" i="20" s="1"/>
  <c r="D19" i="27" s="1"/>
  <c r="GD42" i="6"/>
  <c r="GF42" i="6" s="1"/>
  <c r="GG42" i="6" s="1"/>
  <c r="AH22" i="20" s="1"/>
  <c r="GB42" i="6"/>
  <c r="GC42" i="6" s="1"/>
  <c r="AG22" i="20" s="1"/>
  <c r="FS45" i="6"/>
  <c r="FU45" i="6" s="1"/>
  <c r="FV45" i="6" s="1"/>
  <c r="AL21" i="20" s="1"/>
  <c r="FQ45" i="6"/>
  <c r="FR45" i="6" s="1"/>
  <c r="AK21" i="20" s="1"/>
  <c r="GD27" i="6"/>
  <c r="GB27" i="6"/>
  <c r="GC27" i="6" s="1"/>
  <c r="O22" i="20" s="1"/>
  <c r="BG22" i="20"/>
  <c r="BG68" i="20" s="1"/>
  <c r="AY22" i="20"/>
  <c r="AY68" i="20" s="1"/>
  <c r="EM37" i="6"/>
  <c r="BF18" i="20"/>
  <c r="BF64" i="20" s="1"/>
  <c r="D47" i="27" s="1"/>
  <c r="AR26" i="6"/>
  <c r="AX9" i="20"/>
  <c r="AX55" i="20" s="1"/>
  <c r="D22" i="27" s="1"/>
  <c r="BC21" i="6"/>
  <c r="AP10" i="20"/>
  <c r="AP56" i="20" s="1"/>
  <c r="D7" i="27" s="1"/>
  <c r="BY38" i="6"/>
  <c r="BL12" i="20"/>
  <c r="BD12" i="20"/>
  <c r="BD58" i="20" s="1"/>
  <c r="BV22" i="6"/>
  <c r="BW22" i="6" s="1"/>
  <c r="G12" i="20" s="1"/>
  <c r="BX22" i="6"/>
  <c r="AQ12" i="20"/>
  <c r="AQ53" i="20" s="1"/>
  <c r="AQ42" i="6"/>
  <c r="AS42" i="6" s="1"/>
  <c r="AT42" i="6" s="1"/>
  <c r="AH9" i="20" s="1"/>
  <c r="AO42" i="6"/>
  <c r="AP42" i="6" s="1"/>
  <c r="AG9" i="20" s="1"/>
  <c r="FS26" i="6"/>
  <c r="FQ26" i="6"/>
  <c r="FR26" i="6" s="1"/>
  <c r="M21" i="20" s="1"/>
  <c r="AW21" i="20"/>
  <c r="AW67" i="20" s="1"/>
  <c r="C34" i="27" s="1"/>
  <c r="DE24" i="6"/>
  <c r="DG24" i="6" s="1"/>
  <c r="DH24" i="6" s="1"/>
  <c r="J15" i="20" s="1"/>
  <c r="DE29" i="6"/>
  <c r="DG29" i="6" s="1"/>
  <c r="DH29" i="6" s="1"/>
  <c r="R15" i="20" s="1"/>
  <c r="FF21" i="6"/>
  <c r="FG21" i="6" s="1"/>
  <c r="E20" i="20" s="1"/>
  <c r="FH21" i="6"/>
  <c r="AO20" i="20"/>
  <c r="AO66" i="20" s="1"/>
  <c r="C17" i="27" s="1"/>
  <c r="EW24" i="6"/>
  <c r="EY24" i="6" s="1"/>
  <c r="EZ24" i="6" s="1"/>
  <c r="J19" i="20" s="1"/>
  <c r="CI24" i="6"/>
  <c r="CK24" i="6" s="1"/>
  <c r="CL24" i="6" s="1"/>
  <c r="J13" i="20" s="1"/>
  <c r="AD24" i="6"/>
  <c r="AE24" i="6" s="1"/>
  <c r="I8" i="20" s="1"/>
  <c r="AF24" i="6"/>
  <c r="AS8" i="20"/>
  <c r="EB26" i="6"/>
  <c r="AX17" i="20"/>
  <c r="AX63" i="20" s="1"/>
  <c r="D30" i="27" s="1"/>
  <c r="DP45" i="24"/>
  <c r="DR45" i="24" s="1"/>
  <c r="DS45" i="24" s="1"/>
  <c r="AL42" i="20" s="1"/>
  <c r="DP37" i="24"/>
  <c r="DR37" i="24" s="1"/>
  <c r="DS37" i="24" s="1"/>
  <c r="Z42" i="20" s="1"/>
  <c r="DP26" i="24"/>
  <c r="DR26" i="24" s="1"/>
  <c r="DS26" i="24" s="1"/>
  <c r="N42" i="20" s="1"/>
  <c r="DP32" i="24"/>
  <c r="DR32" i="24" s="1"/>
  <c r="DS32" i="24" s="1"/>
  <c r="V42" i="20" s="1"/>
  <c r="DP42" i="24"/>
  <c r="DR42" i="24" s="1"/>
  <c r="DS42" i="24" s="1"/>
  <c r="AH42" i="20" s="1"/>
  <c r="DP29" i="24"/>
  <c r="DR29" i="24" s="1"/>
  <c r="DS29" i="24" s="1"/>
  <c r="R42" i="20" s="1"/>
  <c r="DP39" i="24"/>
  <c r="DR39" i="24" s="1"/>
  <c r="DS39" i="24" s="1"/>
  <c r="AD42" i="20" s="1"/>
  <c r="DP24" i="24"/>
  <c r="DR24" i="24" s="1"/>
  <c r="DS24" i="24" s="1"/>
  <c r="J42" i="20" s="1"/>
  <c r="DP21" i="24"/>
  <c r="DR21" i="24" s="1"/>
  <c r="DS21" i="24" s="1"/>
  <c r="F42" i="20" s="1"/>
  <c r="CI37" i="24"/>
  <c r="CK37" i="24" s="1"/>
  <c r="CL37" i="24" s="1"/>
  <c r="Z39" i="20" s="1"/>
  <c r="CI39" i="24"/>
  <c r="CK39" i="24" s="1"/>
  <c r="CL39" i="24" s="1"/>
  <c r="AD39" i="20" s="1"/>
  <c r="CI21" i="24"/>
  <c r="CK21" i="24" s="1"/>
  <c r="CL21" i="24" s="1"/>
  <c r="F39" i="20" s="1"/>
  <c r="CI32" i="24"/>
  <c r="CK32" i="24" s="1"/>
  <c r="CL32" i="24" s="1"/>
  <c r="V39" i="20" s="1"/>
  <c r="CI45" i="24"/>
  <c r="CK45" i="24" s="1"/>
  <c r="CL45" i="24" s="1"/>
  <c r="AL39" i="20" s="1"/>
  <c r="CI29" i="24"/>
  <c r="CK29" i="24" s="1"/>
  <c r="CL29" i="24" s="1"/>
  <c r="R39" i="20" s="1"/>
  <c r="CI42" i="24"/>
  <c r="CK42" i="24" s="1"/>
  <c r="CL42" i="24" s="1"/>
  <c r="AH39" i="20" s="1"/>
  <c r="CI26" i="24"/>
  <c r="CK26" i="24" s="1"/>
  <c r="CL26" i="24" s="1"/>
  <c r="N39" i="20" s="1"/>
  <c r="CI24" i="24"/>
  <c r="CK24" i="24" s="1"/>
  <c r="CL24" i="24" s="1"/>
  <c r="J39" i="20" s="1"/>
  <c r="CT37" i="24"/>
  <c r="CV37" i="24" s="1"/>
  <c r="CW37" i="24" s="1"/>
  <c r="Z40" i="20" s="1"/>
  <c r="CT24" i="24"/>
  <c r="CV24" i="24" s="1"/>
  <c r="CW24" i="24" s="1"/>
  <c r="J40" i="20" s="1"/>
  <c r="CT21" i="24"/>
  <c r="CV21" i="24" s="1"/>
  <c r="CW21" i="24" s="1"/>
  <c r="F40" i="20" s="1"/>
  <c r="CT26" i="24"/>
  <c r="CV26" i="24" s="1"/>
  <c r="CW26" i="24" s="1"/>
  <c r="N40" i="20" s="1"/>
  <c r="CT45" i="24"/>
  <c r="CV45" i="24" s="1"/>
  <c r="CW45" i="24" s="1"/>
  <c r="AL40" i="20" s="1"/>
  <c r="CT39" i="24"/>
  <c r="CV39" i="24" s="1"/>
  <c r="CW39" i="24" s="1"/>
  <c r="AD40" i="20" s="1"/>
  <c r="CT29" i="24"/>
  <c r="CV29" i="24" s="1"/>
  <c r="CW29" i="24" s="1"/>
  <c r="R40" i="20" s="1"/>
  <c r="CT32" i="24"/>
  <c r="CV32" i="24" s="1"/>
  <c r="CW32" i="24" s="1"/>
  <c r="V40" i="20" s="1"/>
  <c r="CT42" i="24"/>
  <c r="CV42" i="24" s="1"/>
  <c r="CW42" i="24" s="1"/>
  <c r="AH40" i="20" s="1"/>
  <c r="DE21" i="24"/>
  <c r="DG21" i="24" s="1"/>
  <c r="DH21" i="24" s="1"/>
  <c r="F41" i="20" s="1"/>
  <c r="DE24" i="24"/>
  <c r="DG24" i="24" s="1"/>
  <c r="DH24" i="24" s="1"/>
  <c r="J41" i="20" s="1"/>
  <c r="DE29" i="24"/>
  <c r="DG29" i="24" s="1"/>
  <c r="DH29" i="24" s="1"/>
  <c r="R41" i="20" s="1"/>
  <c r="DE32" i="24"/>
  <c r="DG32" i="24" s="1"/>
  <c r="DH32" i="24" s="1"/>
  <c r="V41" i="20" s="1"/>
  <c r="DE45" i="24"/>
  <c r="DE39" i="24"/>
  <c r="DG39" i="24" s="1"/>
  <c r="DH39" i="24" s="1"/>
  <c r="AD41" i="20" s="1"/>
  <c r="DE37" i="24"/>
  <c r="DG37" i="24" s="1"/>
  <c r="DH37" i="24" s="1"/>
  <c r="Z41" i="20" s="1"/>
  <c r="DE42" i="24"/>
  <c r="DE26" i="24"/>
  <c r="DG26" i="24" s="1"/>
  <c r="DH26" i="24" s="1"/>
  <c r="N41" i="20" s="1"/>
  <c r="EM21" i="6"/>
  <c r="AP18" i="20"/>
  <c r="AP64" i="20" s="1"/>
  <c r="D15" i="27" s="1"/>
  <c r="FF38" i="6"/>
  <c r="FG38" i="6" s="1"/>
  <c r="AA20" i="20" s="1"/>
  <c r="FH38" i="6"/>
  <c r="BC20" i="20"/>
  <c r="BC66" i="20" s="1"/>
  <c r="BK20" i="20"/>
  <c r="FI27" i="6"/>
  <c r="BH20" i="20"/>
  <c r="BH66" i="20" s="1"/>
  <c r="AZ20" i="20"/>
  <c r="AZ66" i="20" s="1"/>
  <c r="FF22" i="6"/>
  <c r="FG22" i="6" s="1"/>
  <c r="G20" i="20" s="1"/>
  <c r="FH22" i="6"/>
  <c r="AQ20" i="20"/>
  <c r="AQ61" i="20" s="1"/>
  <c r="DG46" i="6"/>
  <c r="DH46" i="6" s="1"/>
  <c r="AN15" i="20" s="1"/>
  <c r="DG55" i="6"/>
  <c r="BC26" i="6"/>
  <c r="AX10" i="20"/>
  <c r="AX56" i="20" s="1"/>
  <c r="D23" i="27" s="1"/>
  <c r="DC26" i="6"/>
  <c r="DD26" i="6" s="1"/>
  <c r="M15" i="20" s="1"/>
  <c r="DE26" i="6"/>
  <c r="AW15" i="20"/>
  <c r="AW61" i="20" s="1"/>
  <c r="C28" i="27" s="1"/>
  <c r="AF26" i="6"/>
  <c r="AH26" i="6" s="1"/>
  <c r="AI26" i="6" s="1"/>
  <c r="N8" i="20" s="1"/>
  <c r="DE32" i="6"/>
  <c r="DG32" i="6" s="1"/>
  <c r="DH32" i="6" s="1"/>
  <c r="V15" i="20" s="1"/>
  <c r="CR26" i="6"/>
  <c r="CS26" i="6" s="1"/>
  <c r="M14" i="20" s="1"/>
  <c r="CT26" i="6"/>
  <c r="AW14" i="20"/>
  <c r="AW60" i="20" s="1"/>
  <c r="C27" i="27" s="1"/>
  <c r="DN24" i="6"/>
  <c r="DO24" i="6" s="1"/>
  <c r="I16" i="20" s="1"/>
  <c r="DP24" i="6"/>
  <c r="AS16" i="20"/>
  <c r="AS57" i="20" s="1"/>
  <c r="AQ21" i="6"/>
  <c r="AO21" i="6"/>
  <c r="AP21" i="6" s="1"/>
  <c r="E9" i="20" s="1"/>
  <c r="AO9" i="20"/>
  <c r="AO55" i="20" s="1"/>
  <c r="C6" i="27" s="1"/>
  <c r="CT32" i="6"/>
  <c r="CV32" i="6" s="1"/>
  <c r="CW32" i="6" s="1"/>
  <c r="V14" i="20" s="1"/>
  <c r="CR32" i="6"/>
  <c r="CS32" i="6" s="1"/>
  <c r="U14" i="20" s="1"/>
  <c r="CJ38" i="6"/>
  <c r="BL13" i="20"/>
  <c r="BD13" i="20"/>
  <c r="BD59" i="20" s="1"/>
  <c r="CJ22" i="6"/>
  <c r="AR13" i="20"/>
  <c r="AR54" i="20" s="1"/>
  <c r="EU37" i="6"/>
  <c r="EV37" i="6" s="1"/>
  <c r="Y19" i="20" s="1"/>
  <c r="EW37" i="6"/>
  <c r="BE19" i="20"/>
  <c r="BE65" i="20" s="1"/>
  <c r="C48" i="27" s="1"/>
  <c r="GD30" i="6"/>
  <c r="GF30" i="6" s="1"/>
  <c r="GG30" i="6" s="1"/>
  <c r="T22" i="20" s="1"/>
  <c r="GB30" i="6"/>
  <c r="GC30" i="6" s="1"/>
  <c r="S22" i="20" s="1"/>
  <c r="EU26" i="6"/>
  <c r="EV26" i="6" s="1"/>
  <c r="M19" i="20" s="1"/>
  <c r="EW26" i="6"/>
  <c r="AW19" i="20"/>
  <c r="AW65" i="20" s="1"/>
  <c r="C32" i="27" s="1"/>
  <c r="FT21" i="6"/>
  <c r="AP21" i="20"/>
  <c r="AP67" i="20" s="1"/>
  <c r="D18" i="27" s="1"/>
  <c r="CI46" i="6"/>
  <c r="CK46" i="6" s="1"/>
  <c r="CL46" i="6" s="1"/>
  <c r="AN13" i="20" s="1"/>
  <c r="CG46" i="6"/>
  <c r="CH46" i="6" s="1"/>
  <c r="AM13" i="20" s="1"/>
  <c r="EU38" i="6"/>
  <c r="EV38" i="6" s="1"/>
  <c r="AA19" i="20" s="1"/>
  <c r="EW38" i="6"/>
  <c r="BK19" i="20"/>
  <c r="BC19" i="20"/>
  <c r="BC65" i="20" s="1"/>
  <c r="S27" i="6"/>
  <c r="T27" i="6" s="1"/>
  <c r="O7" i="20" s="1"/>
  <c r="U27" i="6"/>
  <c r="BG7" i="20"/>
  <c r="BG53" i="20" s="1"/>
  <c r="AY7" i="20"/>
  <c r="AY53" i="20" s="1"/>
  <c r="DP30" i="24"/>
  <c r="DR30" i="24" s="1"/>
  <c r="DS30" i="24" s="1"/>
  <c r="T42" i="20" s="1"/>
  <c r="DP46" i="24"/>
  <c r="DR46" i="24" s="1"/>
  <c r="DS46" i="24" s="1"/>
  <c r="AN42" i="20" s="1"/>
  <c r="DP27" i="24"/>
  <c r="DR27" i="24" s="1"/>
  <c r="DS27" i="24" s="1"/>
  <c r="P42" i="20" s="1"/>
  <c r="DP22" i="24"/>
  <c r="DR22" i="24" s="1"/>
  <c r="DS22" i="24" s="1"/>
  <c r="H42" i="20" s="1"/>
  <c r="DP25" i="24"/>
  <c r="DR25" i="24" s="1"/>
  <c r="DS25" i="24" s="1"/>
  <c r="L42" i="20" s="1"/>
  <c r="DP33" i="24"/>
  <c r="DR33" i="24" s="1"/>
  <c r="DS33" i="24" s="1"/>
  <c r="X42" i="20" s="1"/>
  <c r="DP43" i="24"/>
  <c r="DR43" i="24" s="1"/>
  <c r="DS43" i="24" s="1"/>
  <c r="AJ42" i="20" s="1"/>
  <c r="DP40" i="24"/>
  <c r="DR40" i="24" s="1"/>
  <c r="DS40" i="24" s="1"/>
  <c r="AF42" i="20" s="1"/>
  <c r="DP38" i="24"/>
  <c r="DR38" i="24" s="1"/>
  <c r="DS38" i="24" s="1"/>
  <c r="AB42" i="20" s="1"/>
  <c r="EA22" i="24"/>
  <c r="EC22" i="24" s="1"/>
  <c r="ED22" i="24" s="1"/>
  <c r="H43" i="20" s="1"/>
  <c r="EA38" i="24"/>
  <c r="EC38" i="24" s="1"/>
  <c r="ED38" i="24" s="1"/>
  <c r="AB43" i="20" s="1"/>
  <c r="EA46" i="24"/>
  <c r="EC46" i="24" s="1"/>
  <c r="ED46" i="24" s="1"/>
  <c r="AN43" i="20" s="1"/>
  <c r="EA27" i="24"/>
  <c r="EC27" i="24" s="1"/>
  <c r="ED27" i="24" s="1"/>
  <c r="P43" i="20" s="1"/>
  <c r="EA40" i="24"/>
  <c r="EC40" i="24" s="1"/>
  <c r="ED40" i="24" s="1"/>
  <c r="AF43" i="20" s="1"/>
  <c r="EA25" i="24"/>
  <c r="EC25" i="24" s="1"/>
  <c r="ED25" i="24" s="1"/>
  <c r="L43" i="20" s="1"/>
  <c r="EA33" i="24"/>
  <c r="EC33" i="24" s="1"/>
  <c r="ED33" i="24" s="1"/>
  <c r="X43" i="20" s="1"/>
  <c r="EA30" i="24"/>
  <c r="EC30" i="24" s="1"/>
  <c r="ED30" i="24" s="1"/>
  <c r="T43" i="20" s="1"/>
  <c r="EA43" i="24"/>
  <c r="EC43" i="24" s="1"/>
  <c r="ED43" i="24" s="1"/>
  <c r="AJ43" i="20" s="1"/>
  <c r="CT27" i="24"/>
  <c r="CV27" i="24" s="1"/>
  <c r="CW27" i="24" s="1"/>
  <c r="P40" i="20" s="1"/>
  <c r="CT33" i="24"/>
  <c r="CV33" i="24" s="1"/>
  <c r="CW33" i="24" s="1"/>
  <c r="X40" i="20" s="1"/>
  <c r="CT43" i="24"/>
  <c r="CV43" i="24" s="1"/>
  <c r="CW43" i="24" s="1"/>
  <c r="AJ40" i="20" s="1"/>
  <c r="CT40" i="24"/>
  <c r="CV40" i="24" s="1"/>
  <c r="CW40" i="24" s="1"/>
  <c r="AF40" i="20" s="1"/>
  <c r="CT22" i="24"/>
  <c r="CV22" i="24" s="1"/>
  <c r="CW22" i="24" s="1"/>
  <c r="H40" i="20" s="1"/>
  <c r="CT25" i="24"/>
  <c r="CV25" i="24" s="1"/>
  <c r="CW25" i="24" s="1"/>
  <c r="L40" i="20" s="1"/>
  <c r="CT46" i="24"/>
  <c r="CV46" i="24" s="1"/>
  <c r="CW46" i="24" s="1"/>
  <c r="AN40" i="20" s="1"/>
  <c r="CT30" i="24"/>
  <c r="CV30" i="24" s="1"/>
  <c r="CW30" i="24" s="1"/>
  <c r="T40" i="20" s="1"/>
  <c r="CT38" i="24"/>
  <c r="CV38" i="24" s="1"/>
  <c r="CW38" i="24" s="1"/>
  <c r="AB40" i="20" s="1"/>
  <c r="DE38" i="24"/>
  <c r="DE22" i="24"/>
  <c r="DG22" i="24" s="1"/>
  <c r="DH22" i="24" s="1"/>
  <c r="H41" i="20" s="1"/>
  <c r="DE43" i="24"/>
  <c r="DE40" i="24"/>
  <c r="DG40" i="24" s="1"/>
  <c r="DH40" i="24" s="1"/>
  <c r="AF41" i="20" s="1"/>
  <c r="DE33" i="24"/>
  <c r="DG33" i="24" s="1"/>
  <c r="DH33" i="24" s="1"/>
  <c r="X41" i="20" s="1"/>
  <c r="DE25" i="24"/>
  <c r="DG25" i="24" s="1"/>
  <c r="DH25" i="24" s="1"/>
  <c r="L41" i="20" s="1"/>
  <c r="DE27" i="24"/>
  <c r="DG27" i="24" s="1"/>
  <c r="DH27" i="24" s="1"/>
  <c r="P41" i="20" s="1"/>
  <c r="DE30" i="24"/>
  <c r="DG30" i="24" s="1"/>
  <c r="DH30" i="24" s="1"/>
  <c r="T41" i="20" s="1"/>
  <c r="DE46" i="24"/>
  <c r="DF22" i="6"/>
  <c r="AR15" i="20"/>
  <c r="AR56" i="20" s="1"/>
  <c r="BB37" i="6"/>
  <c r="AZ37" i="6"/>
  <c r="BA37" i="6" s="1"/>
  <c r="Y10" i="20" s="1"/>
  <c r="BE10" i="20"/>
  <c r="BE56" i="20" s="1"/>
  <c r="C39" i="27" s="1"/>
  <c r="EU30" i="6"/>
  <c r="EV30" i="6" s="1"/>
  <c r="S19" i="20" s="1"/>
  <c r="EW30" i="6"/>
  <c r="EY30" i="6" s="1"/>
  <c r="EZ30" i="6" s="1"/>
  <c r="T19" i="20" s="1"/>
  <c r="S26" i="6"/>
  <c r="T26" i="6" s="1"/>
  <c r="M7" i="20" s="1"/>
  <c r="U26" i="6"/>
  <c r="AW7" i="20"/>
  <c r="AW53" i="20" s="1"/>
  <c r="C20" i="27" s="1"/>
  <c r="EB21" i="6"/>
  <c r="AP17" i="20"/>
  <c r="AP63" i="20" s="1"/>
  <c r="D14" i="27" s="1"/>
  <c r="S42" i="6"/>
  <c r="T42" i="6" s="1"/>
  <c r="AG7" i="20" s="1"/>
  <c r="U42" i="6"/>
  <c r="W42" i="6" s="1"/>
  <c r="X42" i="6" s="1"/>
  <c r="AH7" i="20" s="1"/>
  <c r="EA32" i="6"/>
  <c r="EC32" i="6" s="1"/>
  <c r="ED32" i="6" s="1"/>
  <c r="V17" i="20" s="1"/>
  <c r="DY32" i="6"/>
  <c r="DZ32" i="6" s="1"/>
  <c r="U17" i="20" s="1"/>
  <c r="GE38" i="6"/>
  <c r="BL22" i="20"/>
  <c r="BD22" i="20"/>
  <c r="BD68" i="20" s="1"/>
  <c r="FT27" i="6"/>
  <c r="AZ21" i="20"/>
  <c r="AZ67" i="20" s="1"/>
  <c r="BH21" i="20"/>
  <c r="BH67" i="20" s="1"/>
  <c r="BN37" i="6"/>
  <c r="BF11" i="20"/>
  <c r="BF57" i="20" s="1"/>
  <c r="D40" i="27" s="1"/>
  <c r="BY26" i="6"/>
  <c r="AX12" i="20"/>
  <c r="AX58" i="20" s="1"/>
  <c r="D25" i="27" s="1"/>
  <c r="CJ26" i="6"/>
  <c r="AX13" i="20"/>
  <c r="AX59" i="20" s="1"/>
  <c r="D26" i="27" s="1"/>
  <c r="BV21" i="6"/>
  <c r="BW21" i="6" s="1"/>
  <c r="E12" i="20" s="1"/>
  <c r="BX21" i="6"/>
  <c r="AO12" i="20"/>
  <c r="AO58" i="20" s="1"/>
  <c r="C9" i="27" s="1"/>
  <c r="BK42" i="6"/>
  <c r="BL42" i="6" s="1"/>
  <c r="AG11" i="20" s="1"/>
  <c r="BM42" i="6"/>
  <c r="BO42" i="6" s="1"/>
  <c r="BP42" i="6" s="1"/>
  <c r="AH11" i="20" s="1"/>
  <c r="DR25" i="6"/>
  <c r="DS25" i="6" s="1"/>
  <c r="L16" i="20" s="1"/>
  <c r="DN46" i="6"/>
  <c r="DO46" i="6" s="1"/>
  <c r="AM16" i="20" s="1"/>
  <c r="DP46" i="6"/>
  <c r="DR46" i="6" s="1"/>
  <c r="DS46" i="6" s="1"/>
  <c r="AN16" i="20" s="1"/>
  <c r="BK38" i="6"/>
  <c r="BL38" i="6" s="1"/>
  <c r="AA11" i="20" s="1"/>
  <c r="BM38" i="6"/>
  <c r="BC11" i="20"/>
  <c r="BC57" i="20" s="1"/>
  <c r="BK11" i="20"/>
  <c r="GE27" i="6"/>
  <c r="BH22" i="20"/>
  <c r="BH68" i="20" s="1"/>
  <c r="AZ22" i="20"/>
  <c r="AZ68" i="20" s="1"/>
  <c r="EU43" i="6"/>
  <c r="EV43" i="6" s="1"/>
  <c r="AI19" i="20" s="1"/>
  <c r="EW43" i="6"/>
  <c r="EY43" i="6" s="1"/>
  <c r="EZ43" i="6" s="1"/>
  <c r="AJ19" i="20" s="1"/>
  <c r="AD21" i="6"/>
  <c r="AE21" i="6" s="1"/>
  <c r="E8" i="20" s="1"/>
  <c r="AF21" i="6"/>
  <c r="AO8" i="20"/>
  <c r="AO54" i="20" s="1"/>
  <c r="C5" i="27" s="1"/>
  <c r="CT38" i="6"/>
  <c r="CR38" i="6"/>
  <c r="CS38" i="6" s="1"/>
  <c r="AA14" i="20" s="1"/>
  <c r="BC14" i="20"/>
  <c r="BC60" i="20" s="1"/>
  <c r="BK14" i="20"/>
  <c r="BY22" i="6"/>
  <c r="AR12" i="20"/>
  <c r="AR53" i="20" s="1"/>
  <c r="FF37" i="6"/>
  <c r="FG37" i="6" s="1"/>
  <c r="Y20" i="20" s="1"/>
  <c r="FH37" i="6"/>
  <c r="BE20" i="20"/>
  <c r="BE66" i="20" s="1"/>
  <c r="C49" i="27" s="1"/>
  <c r="DP26" i="6"/>
  <c r="DN26" i="6"/>
  <c r="DO26" i="6" s="1"/>
  <c r="M16" i="20" s="1"/>
  <c r="AW16" i="20"/>
  <c r="AW62" i="20" s="1"/>
  <c r="C29" i="27" s="1"/>
  <c r="FT26" i="6"/>
  <c r="AX21" i="20"/>
  <c r="AX67" i="20" s="1"/>
  <c r="D34" i="27" s="1"/>
  <c r="EL24" i="6"/>
  <c r="EN24" i="6" s="1"/>
  <c r="EO24" i="6" s="1"/>
  <c r="J18" i="20" s="1"/>
  <c r="EL39" i="6"/>
  <c r="EN39" i="6" s="1"/>
  <c r="EO39" i="6" s="1"/>
  <c r="AD18" i="20" s="1"/>
  <c r="FI21" i="6"/>
  <c r="AP20" i="20"/>
  <c r="AP66" i="20" s="1"/>
  <c r="D17" i="27" s="1"/>
  <c r="FJ30" i="6"/>
  <c r="FK30" i="6" s="1"/>
  <c r="T20" i="20" s="1"/>
  <c r="AG24" i="6"/>
  <c r="AT8" i="20"/>
  <c r="DP39" i="6"/>
  <c r="DR39" i="6" s="1"/>
  <c r="DS39" i="6" s="1"/>
  <c r="AD16" i="20" s="1"/>
  <c r="FH37" i="24"/>
  <c r="FJ37" i="24" s="1"/>
  <c r="FK37" i="24" s="1"/>
  <c r="Z46" i="20" s="1"/>
  <c r="FH29" i="24"/>
  <c r="FJ29" i="24" s="1"/>
  <c r="FK29" i="24" s="1"/>
  <c r="R46" i="20" s="1"/>
  <c r="FH45" i="24"/>
  <c r="FJ45" i="24" s="1"/>
  <c r="FK45" i="24" s="1"/>
  <c r="AL46" i="20" s="1"/>
  <c r="FH39" i="24"/>
  <c r="FJ39" i="24" s="1"/>
  <c r="FK39" i="24" s="1"/>
  <c r="AD46" i="20" s="1"/>
  <c r="FH21" i="24"/>
  <c r="FJ21" i="24" s="1"/>
  <c r="FK21" i="24" s="1"/>
  <c r="F46" i="20" s="1"/>
  <c r="FH24" i="24"/>
  <c r="FJ24" i="24" s="1"/>
  <c r="FK24" i="24" s="1"/>
  <c r="J46" i="20" s="1"/>
  <c r="FH32" i="24"/>
  <c r="FJ32" i="24" s="1"/>
  <c r="FK32" i="24" s="1"/>
  <c r="V46" i="20" s="1"/>
  <c r="FH42" i="24"/>
  <c r="FJ42" i="24" s="1"/>
  <c r="FK42" i="24" s="1"/>
  <c r="AH46" i="20" s="1"/>
  <c r="FH26" i="24"/>
  <c r="FJ26" i="24" s="1"/>
  <c r="FK26" i="24" s="1"/>
  <c r="N46" i="20" s="1"/>
  <c r="EA32" i="24"/>
  <c r="EC32" i="24" s="1"/>
  <c r="ED32" i="24" s="1"/>
  <c r="V43" i="20" s="1"/>
  <c r="EA45" i="24"/>
  <c r="EC45" i="24" s="1"/>
  <c r="ED45" i="24" s="1"/>
  <c r="AL43" i="20" s="1"/>
  <c r="EA29" i="24"/>
  <c r="EC29" i="24" s="1"/>
  <c r="ED29" i="24" s="1"/>
  <c r="R43" i="20" s="1"/>
  <c r="EA39" i="24"/>
  <c r="EC39" i="24" s="1"/>
  <c r="ED39" i="24" s="1"/>
  <c r="AD43" i="20" s="1"/>
  <c r="EA21" i="24"/>
  <c r="EC21" i="24" s="1"/>
  <c r="ED21" i="24" s="1"/>
  <c r="F43" i="20" s="1"/>
  <c r="EA37" i="24"/>
  <c r="EC37" i="24" s="1"/>
  <c r="ED37" i="24" s="1"/>
  <c r="Z43" i="20" s="1"/>
  <c r="EA42" i="24"/>
  <c r="EC42" i="24" s="1"/>
  <c r="ED42" i="24" s="1"/>
  <c r="AH43" i="20" s="1"/>
  <c r="EA26" i="24"/>
  <c r="EC26" i="24" s="1"/>
  <c r="ED26" i="24" s="1"/>
  <c r="N43" i="20" s="1"/>
  <c r="EA24" i="24"/>
  <c r="EC24" i="24" s="1"/>
  <c r="ED24" i="24" s="1"/>
  <c r="J43" i="20" s="1"/>
  <c r="EL21" i="24"/>
  <c r="EN21" i="24" s="1"/>
  <c r="EO21" i="24" s="1"/>
  <c r="F44" i="20" s="1"/>
  <c r="EL26" i="24"/>
  <c r="EN26" i="24" s="1"/>
  <c r="EO26" i="24" s="1"/>
  <c r="N44" i="20" s="1"/>
  <c r="EL24" i="24"/>
  <c r="EN24" i="24" s="1"/>
  <c r="EO24" i="24" s="1"/>
  <c r="J44" i="20" s="1"/>
  <c r="EL45" i="24"/>
  <c r="EN45" i="24" s="1"/>
  <c r="EO45" i="24" s="1"/>
  <c r="AL44" i="20" s="1"/>
  <c r="EL29" i="24"/>
  <c r="EN29" i="24" s="1"/>
  <c r="EO29" i="24" s="1"/>
  <c r="R44" i="20" s="1"/>
  <c r="EL39" i="24"/>
  <c r="EN39" i="24" s="1"/>
  <c r="EO39" i="24" s="1"/>
  <c r="AD44" i="20" s="1"/>
  <c r="EL37" i="24"/>
  <c r="EN37" i="24" s="1"/>
  <c r="EO37" i="24" s="1"/>
  <c r="Z44" i="20" s="1"/>
  <c r="EL32" i="24"/>
  <c r="EN32" i="24" s="1"/>
  <c r="EO32" i="24" s="1"/>
  <c r="V44" i="20" s="1"/>
  <c r="EL42" i="24"/>
  <c r="EN42" i="24" s="1"/>
  <c r="EO42" i="24" s="1"/>
  <c r="AH44" i="20" s="1"/>
  <c r="EW24" i="24"/>
  <c r="EY24" i="24" s="1"/>
  <c r="EZ24" i="24" s="1"/>
  <c r="J45" i="20" s="1"/>
  <c r="EW42" i="24"/>
  <c r="EY42" i="24" s="1"/>
  <c r="EZ42" i="24" s="1"/>
  <c r="AH45" i="20" s="1"/>
  <c r="EW21" i="24"/>
  <c r="EY21" i="24" s="1"/>
  <c r="EZ21" i="24" s="1"/>
  <c r="F45" i="20" s="1"/>
  <c r="EW39" i="24"/>
  <c r="EY39" i="24" s="1"/>
  <c r="EZ39" i="24" s="1"/>
  <c r="AD45" i="20" s="1"/>
  <c r="EW37" i="24"/>
  <c r="EY37" i="24" s="1"/>
  <c r="EZ37" i="24" s="1"/>
  <c r="Z45" i="20" s="1"/>
  <c r="EW32" i="24"/>
  <c r="EY32" i="24" s="1"/>
  <c r="EZ32" i="24" s="1"/>
  <c r="V45" i="20" s="1"/>
  <c r="EW45" i="24"/>
  <c r="EY45" i="24" s="1"/>
  <c r="EZ45" i="24" s="1"/>
  <c r="AL45" i="20" s="1"/>
  <c r="EW29" i="24"/>
  <c r="EY29" i="24" s="1"/>
  <c r="EZ29" i="24" s="1"/>
  <c r="R45" i="20" s="1"/>
  <c r="EW26" i="24"/>
  <c r="EY26" i="24" s="1"/>
  <c r="EZ26" i="24" s="1"/>
  <c r="N45" i="20" s="1"/>
  <c r="DN21" i="6"/>
  <c r="DO21" i="6" s="1"/>
  <c r="E16" i="20" s="1"/>
  <c r="DP21" i="6"/>
  <c r="AO16" i="20"/>
  <c r="AO62" i="20" s="1"/>
  <c r="C13" i="27" s="1"/>
  <c r="AF45" i="6"/>
  <c r="AH45" i="6" s="1"/>
  <c r="AI45" i="6" s="1"/>
  <c r="AL8" i="20" s="1"/>
  <c r="AL26" i="20" s="1"/>
  <c r="AQ24" i="6"/>
  <c r="AS24" i="6" s="1"/>
  <c r="AT24" i="6" s="1"/>
  <c r="J9" i="20" s="1"/>
  <c r="GD32" i="6"/>
  <c r="GF32" i="6" s="1"/>
  <c r="GG32" i="6" s="1"/>
  <c r="V22" i="20" s="1"/>
  <c r="GB32" i="6"/>
  <c r="GC32" i="6" s="1"/>
  <c r="U22" i="20" s="1"/>
  <c r="FI38" i="6"/>
  <c r="BL20" i="20"/>
  <c r="BD20" i="20"/>
  <c r="BD66" i="20" s="1"/>
  <c r="FI22" i="6"/>
  <c r="AR20" i="20"/>
  <c r="AR61" i="20" s="1"/>
  <c r="DP37" i="6"/>
  <c r="DR37" i="6" s="1"/>
  <c r="DS37" i="6" s="1"/>
  <c r="Z16" i="20" s="1"/>
  <c r="CI30" i="6"/>
  <c r="CK30" i="6" s="1"/>
  <c r="CL30" i="6" s="1"/>
  <c r="T13" i="20" s="1"/>
  <c r="CG30" i="6"/>
  <c r="CH30" i="6" s="1"/>
  <c r="S13" i="20" s="1"/>
  <c r="AF29" i="6"/>
  <c r="AH29" i="6" s="1"/>
  <c r="AI29" i="6" s="1"/>
  <c r="R8" i="20" s="1"/>
  <c r="BM39" i="6"/>
  <c r="BO39" i="6" s="1"/>
  <c r="BP39" i="6" s="1"/>
  <c r="AD11" i="20" s="1"/>
  <c r="CI39" i="6"/>
  <c r="CK39" i="6" s="1"/>
  <c r="CL39" i="6" s="1"/>
  <c r="AD13" i="20" s="1"/>
  <c r="DF26" i="6"/>
  <c r="AX15" i="20"/>
  <c r="AX61" i="20" s="1"/>
  <c r="D28" i="27" s="1"/>
  <c r="CU26" i="6"/>
  <c r="AX14" i="20"/>
  <c r="AX60" i="20" s="1"/>
  <c r="D27" i="27" s="1"/>
  <c r="CT21" i="6"/>
  <c r="CV21" i="6" s="1"/>
  <c r="CW21" i="6" s="1"/>
  <c r="F14" i="20" s="1"/>
  <c r="DQ24" i="6"/>
  <c r="AT16" i="20"/>
  <c r="AT57" i="20" s="1"/>
  <c r="AR21" i="6"/>
  <c r="AP9" i="20"/>
  <c r="AP55" i="20" s="1"/>
  <c r="D6" i="27" s="1"/>
  <c r="FS40" i="6"/>
  <c r="FU40" i="6" s="1"/>
  <c r="FV40" i="6" s="1"/>
  <c r="AF21" i="20" s="1"/>
  <c r="FQ40" i="6"/>
  <c r="FR40" i="6" s="1"/>
  <c r="AE21" i="20" s="1"/>
  <c r="CI27" i="6"/>
  <c r="CG27" i="6"/>
  <c r="CH27" i="6" s="1"/>
  <c r="O13" i="20" s="1"/>
  <c r="BG13" i="20"/>
  <c r="BG59" i="20" s="1"/>
  <c r="AY13" i="20"/>
  <c r="AY59" i="20" s="1"/>
  <c r="EX37" i="6"/>
  <c r="BF19" i="20"/>
  <c r="BF65" i="20" s="1"/>
  <c r="D48" i="27" s="1"/>
  <c r="EX26" i="6"/>
  <c r="AX19" i="20"/>
  <c r="AX65" i="20" s="1"/>
  <c r="D32" i="27" s="1"/>
  <c r="BK21" i="6"/>
  <c r="BL21" i="6" s="1"/>
  <c r="E11" i="20" s="1"/>
  <c r="BM21" i="6"/>
  <c r="AO11" i="20"/>
  <c r="AO57" i="20" s="1"/>
  <c r="C8" i="27" s="1"/>
  <c r="GD40" i="6"/>
  <c r="GF40" i="6" s="1"/>
  <c r="GG40" i="6" s="1"/>
  <c r="AF22" i="20" s="1"/>
  <c r="GB40" i="6"/>
  <c r="GC40" i="6" s="1"/>
  <c r="AE22" i="20" s="1"/>
  <c r="DC21" i="6"/>
  <c r="DD21" i="6" s="1"/>
  <c r="E15" i="20" s="1"/>
  <c r="DE21" i="6"/>
  <c r="AO15" i="20"/>
  <c r="AO61" i="20" s="1"/>
  <c r="C12" i="27" s="1"/>
  <c r="EU42" i="6"/>
  <c r="EV42" i="6" s="1"/>
  <c r="AG19" i="20" s="1"/>
  <c r="EW42" i="6"/>
  <c r="EY42" i="6" s="1"/>
  <c r="EZ42" i="6" s="1"/>
  <c r="AH19" i="20" s="1"/>
  <c r="AN27" i="20"/>
  <c r="AN26" i="20"/>
  <c r="BV32" i="6"/>
  <c r="BW32" i="6" s="1"/>
  <c r="U12" i="20" s="1"/>
  <c r="BX32" i="6"/>
  <c r="BZ32" i="6" s="1"/>
  <c r="CA32" i="6" s="1"/>
  <c r="V12" i="20" s="1"/>
  <c r="EX38" i="6"/>
  <c r="BL19" i="20"/>
  <c r="BD19" i="20"/>
  <c r="BD65" i="20" s="1"/>
  <c r="V27" i="6"/>
  <c r="BH7" i="20"/>
  <c r="BH53" i="20" s="1"/>
  <c r="AZ7" i="20"/>
  <c r="AZ53" i="20" s="1"/>
  <c r="FH43" i="24"/>
  <c r="FJ43" i="24" s="1"/>
  <c r="FK43" i="24" s="1"/>
  <c r="AJ46" i="20" s="1"/>
  <c r="FH38" i="24"/>
  <c r="FJ38" i="24" s="1"/>
  <c r="FK38" i="24" s="1"/>
  <c r="AB46" i="20" s="1"/>
  <c r="FH25" i="24"/>
  <c r="FJ25" i="24" s="1"/>
  <c r="FK25" i="24" s="1"/>
  <c r="L46" i="20" s="1"/>
  <c r="FH27" i="24"/>
  <c r="FJ27" i="24" s="1"/>
  <c r="FK27" i="24" s="1"/>
  <c r="P46" i="20" s="1"/>
  <c r="FH22" i="24"/>
  <c r="FJ22" i="24" s="1"/>
  <c r="FK22" i="24" s="1"/>
  <c r="H46" i="20" s="1"/>
  <c r="FH46" i="24"/>
  <c r="FJ46" i="24" s="1"/>
  <c r="FK46" i="24" s="1"/>
  <c r="AN46" i="20" s="1"/>
  <c r="FH40" i="24"/>
  <c r="FJ40" i="24" s="1"/>
  <c r="FK40" i="24" s="1"/>
  <c r="AF46" i="20" s="1"/>
  <c r="FH33" i="24"/>
  <c r="FJ33" i="24" s="1"/>
  <c r="FK33" i="24" s="1"/>
  <c r="X46" i="20" s="1"/>
  <c r="FH30" i="24"/>
  <c r="FJ30" i="24" s="1"/>
  <c r="FK30" i="24" s="1"/>
  <c r="T46" i="20" s="1"/>
  <c r="FS43" i="24"/>
  <c r="FU43" i="24" s="1"/>
  <c r="FV43" i="24" s="1"/>
  <c r="AJ47" i="20" s="1"/>
  <c r="FS40" i="24"/>
  <c r="FU40" i="24" s="1"/>
  <c r="FV40" i="24" s="1"/>
  <c r="AF47" i="20" s="1"/>
  <c r="FS22" i="24"/>
  <c r="FU22" i="24" s="1"/>
  <c r="FV22" i="24" s="1"/>
  <c r="H47" i="20" s="1"/>
  <c r="FS27" i="24"/>
  <c r="FU27" i="24" s="1"/>
  <c r="FV27" i="24" s="1"/>
  <c r="P47" i="20" s="1"/>
  <c r="FS30" i="24"/>
  <c r="FU30" i="24" s="1"/>
  <c r="FV30" i="24" s="1"/>
  <c r="T47" i="20" s="1"/>
  <c r="FS38" i="24"/>
  <c r="FU38" i="24" s="1"/>
  <c r="FV38" i="24" s="1"/>
  <c r="AB47" i="20" s="1"/>
  <c r="FS33" i="24"/>
  <c r="FU33" i="24" s="1"/>
  <c r="FV33" i="24" s="1"/>
  <c r="X47" i="20" s="1"/>
  <c r="FS46" i="24"/>
  <c r="FU46" i="24" s="1"/>
  <c r="FV46" i="24" s="1"/>
  <c r="AN47" i="20" s="1"/>
  <c r="FS25" i="24"/>
  <c r="FU25" i="24" s="1"/>
  <c r="FV25" i="24" s="1"/>
  <c r="L47" i="20" s="1"/>
  <c r="EL40" i="24"/>
  <c r="EN40" i="24" s="1"/>
  <c r="EO40" i="24" s="1"/>
  <c r="AF44" i="20" s="1"/>
  <c r="EL33" i="24"/>
  <c r="EN33" i="24" s="1"/>
  <c r="EO33" i="24" s="1"/>
  <c r="X44" i="20" s="1"/>
  <c r="EL38" i="24"/>
  <c r="EN38" i="24" s="1"/>
  <c r="EO38" i="24" s="1"/>
  <c r="AB44" i="20" s="1"/>
  <c r="EL43" i="24"/>
  <c r="EN43" i="24" s="1"/>
  <c r="EO43" i="24" s="1"/>
  <c r="AJ44" i="20" s="1"/>
  <c r="EL30" i="24"/>
  <c r="EN30" i="24" s="1"/>
  <c r="EO30" i="24" s="1"/>
  <c r="T44" i="20" s="1"/>
  <c r="EL27" i="24"/>
  <c r="EN27" i="24" s="1"/>
  <c r="EO27" i="24" s="1"/>
  <c r="P44" i="20" s="1"/>
  <c r="EL25" i="24"/>
  <c r="EN25" i="24" s="1"/>
  <c r="EO25" i="24" s="1"/>
  <c r="L44" i="20" s="1"/>
  <c r="EL46" i="24"/>
  <c r="EN46" i="24" s="1"/>
  <c r="EO46" i="24" s="1"/>
  <c r="AN44" i="20" s="1"/>
  <c r="EL22" i="24"/>
  <c r="EN22" i="24" s="1"/>
  <c r="EO22" i="24" s="1"/>
  <c r="H44" i="20" s="1"/>
  <c r="EW25" i="24"/>
  <c r="EY25" i="24" s="1"/>
  <c r="EZ25" i="24" s="1"/>
  <c r="L45" i="20" s="1"/>
  <c r="EW40" i="24"/>
  <c r="EY40" i="24" s="1"/>
  <c r="EZ40" i="24" s="1"/>
  <c r="AF45" i="20" s="1"/>
  <c r="EW30" i="24"/>
  <c r="EY30" i="24" s="1"/>
  <c r="EZ30" i="24" s="1"/>
  <c r="T45" i="20" s="1"/>
  <c r="EW38" i="24"/>
  <c r="EY38" i="24" s="1"/>
  <c r="EZ38" i="24" s="1"/>
  <c r="AB45" i="20" s="1"/>
  <c r="EW22" i="24"/>
  <c r="EY22" i="24" s="1"/>
  <c r="EZ22" i="24" s="1"/>
  <c r="H45" i="20" s="1"/>
  <c r="EW46" i="24"/>
  <c r="EY46" i="24" s="1"/>
  <c r="EZ46" i="24" s="1"/>
  <c r="AN45" i="20" s="1"/>
  <c r="EW43" i="24"/>
  <c r="EY43" i="24" s="1"/>
  <c r="EZ43" i="24" s="1"/>
  <c r="AJ45" i="20" s="1"/>
  <c r="EW27" i="24"/>
  <c r="EY27" i="24" s="1"/>
  <c r="EZ27" i="24" s="1"/>
  <c r="P45" i="20" s="1"/>
  <c r="EW33" i="24"/>
  <c r="EY33" i="24" s="1"/>
  <c r="EZ33" i="24" s="1"/>
  <c r="X45" i="20" s="1"/>
  <c r="BC37" i="6"/>
  <c r="BF10" i="20"/>
  <c r="BF56" i="20" s="1"/>
  <c r="D39" i="27" s="1"/>
  <c r="V26" i="6"/>
  <c r="AX7" i="20"/>
  <c r="AX53" i="20" s="1"/>
  <c r="D20" i="27" s="1"/>
  <c r="FF40" i="6"/>
  <c r="FG40" i="6" s="1"/>
  <c r="AE20" i="20" s="1"/>
  <c r="FH40" i="6"/>
  <c r="FJ40" i="6" s="1"/>
  <c r="FK40" i="6" s="1"/>
  <c r="AF20" i="20" s="1"/>
  <c r="FS38" i="6"/>
  <c r="FQ38" i="6"/>
  <c r="FR38" i="6" s="1"/>
  <c r="AA21" i="20" s="1"/>
  <c r="BC21" i="20"/>
  <c r="BC67" i="20" s="1"/>
  <c r="BK21" i="20"/>
  <c r="FS22" i="6"/>
  <c r="FQ22" i="6"/>
  <c r="FR22" i="6" s="1"/>
  <c r="G21" i="20" s="1"/>
  <c r="AQ21" i="20"/>
  <c r="AQ62" i="20" s="1"/>
  <c r="BV37" i="6"/>
  <c r="BW37" i="6" s="1"/>
  <c r="Y12" i="20" s="1"/>
  <c r="BX37" i="6"/>
  <c r="BE12" i="20"/>
  <c r="BE58" i="20" s="1"/>
  <c r="C41" i="27" s="1"/>
  <c r="BV30" i="6"/>
  <c r="BW30" i="6" s="1"/>
  <c r="S12" i="20" s="1"/>
  <c r="BX30" i="6"/>
  <c r="BZ30" i="6" s="1"/>
  <c r="CA30" i="6" s="1"/>
  <c r="T12" i="20" s="1"/>
  <c r="FS32" i="6"/>
  <c r="FU32" i="6" s="1"/>
  <c r="FV32" i="6" s="1"/>
  <c r="V21" i="20" s="1"/>
  <c r="FQ32" i="6"/>
  <c r="FR32" i="6" s="1"/>
  <c r="U21" i="20" s="1"/>
  <c r="BY21" i="6"/>
  <c r="AP12" i="20"/>
  <c r="AP58" i="20" s="1"/>
  <c r="D9" i="27" s="1"/>
  <c r="BK32" i="6"/>
  <c r="BL32" i="6" s="1"/>
  <c r="U11" i="20" s="1"/>
  <c r="BM32" i="6"/>
  <c r="BO32" i="6" s="1"/>
  <c r="BP32" i="6" s="1"/>
  <c r="V11" i="20" s="1"/>
  <c r="BN38" i="6"/>
  <c r="BL11" i="20"/>
  <c r="BD11" i="20"/>
  <c r="BD57" i="20" s="1"/>
  <c r="AG21" i="6"/>
  <c r="AP8" i="20"/>
  <c r="AP54" i="20" s="1"/>
  <c r="D5" i="27" s="1"/>
  <c r="DC42" i="6"/>
  <c r="DD42" i="6" s="1"/>
  <c r="AG15" i="20" s="1"/>
  <c r="DE42" i="6"/>
  <c r="DN32" i="6"/>
  <c r="DO32" i="6" s="1"/>
  <c r="U16" i="20" s="1"/>
  <c r="DP32" i="6"/>
  <c r="DR32" i="6" s="1"/>
  <c r="DS32" i="6" s="1"/>
  <c r="V16" i="20" s="1"/>
  <c r="CU38" i="6"/>
  <c r="BL14" i="20"/>
  <c r="BD14" i="20"/>
  <c r="BD60" i="20" s="1"/>
  <c r="BV27" i="6"/>
  <c r="BW27" i="6" s="1"/>
  <c r="O12" i="20" s="1"/>
  <c r="BX27" i="6"/>
  <c r="BG12" i="20"/>
  <c r="BG58" i="20" s="1"/>
  <c r="AY12" i="20"/>
  <c r="AY58" i="20" s="1"/>
  <c r="FI37" i="6"/>
  <c r="BF20" i="20"/>
  <c r="BF66" i="20" s="1"/>
  <c r="D49" i="27" s="1"/>
  <c r="DQ26" i="6"/>
  <c r="AX16" i="20"/>
  <c r="AX62" i="20" s="1"/>
  <c r="D29" i="27" s="1"/>
  <c r="FF32" i="6"/>
  <c r="FG32" i="6" s="1"/>
  <c r="U20" i="20" s="1"/>
  <c r="FH32" i="6"/>
  <c r="FJ32" i="6" s="1"/>
  <c r="FK32" i="6" s="1"/>
  <c r="V20" i="20" s="1"/>
  <c r="GD24" i="6"/>
  <c r="GF24" i="6" s="1"/>
  <c r="GG24" i="6" s="1"/>
  <c r="J22" i="20" s="1"/>
  <c r="GD39" i="6"/>
  <c r="GF39" i="6" s="1"/>
  <c r="GG39" i="6" s="1"/>
  <c r="AD22" i="20" s="1"/>
  <c r="EL42" i="6"/>
  <c r="EN42" i="6" s="1"/>
  <c r="EO42" i="6" s="1"/>
  <c r="AH18" i="20" s="1"/>
  <c r="EJ42" i="6"/>
  <c r="EK42" i="6" s="1"/>
  <c r="AG18" i="20" s="1"/>
  <c r="DC40" i="6"/>
  <c r="DD40" i="6" s="1"/>
  <c r="AE15" i="20" s="1"/>
  <c r="DE40" i="6"/>
  <c r="DG40" i="6" s="1"/>
  <c r="DH40" i="6" s="1"/>
  <c r="AF15" i="20" s="1"/>
  <c r="AQ37" i="6"/>
  <c r="AS37" i="6" s="1"/>
  <c r="AT37" i="6" s="1"/>
  <c r="Z9" i="20" s="1"/>
  <c r="BD30" i="6"/>
  <c r="BE30" i="6" s="1"/>
  <c r="T10" i="20" s="1"/>
  <c r="AQ37" i="24"/>
  <c r="AS37" i="24" s="1"/>
  <c r="AT37" i="24" s="1"/>
  <c r="Z35" i="20" s="1"/>
  <c r="U37" i="24"/>
  <c r="W37" i="24" s="1"/>
  <c r="X37" i="24" s="1"/>
  <c r="Z33" i="20" s="1"/>
  <c r="AQ42" i="24"/>
  <c r="AS42" i="24" s="1"/>
  <c r="AT42" i="24" s="1"/>
  <c r="AH35" i="20" s="1"/>
  <c r="AQ24" i="24"/>
  <c r="AS24" i="24" s="1"/>
  <c r="AT24" i="24" s="1"/>
  <c r="J35" i="20" s="1"/>
  <c r="U42" i="24"/>
  <c r="W42" i="24" s="1"/>
  <c r="X42" i="24" s="1"/>
  <c r="AH33" i="20" s="1"/>
  <c r="U26" i="24"/>
  <c r="W26" i="24" s="1"/>
  <c r="X26" i="24" s="1"/>
  <c r="N33" i="20" s="1"/>
  <c r="AQ21" i="24"/>
  <c r="AS21" i="24" s="1"/>
  <c r="AT21" i="24" s="1"/>
  <c r="F35" i="20" s="1"/>
  <c r="U21" i="24"/>
  <c r="W21" i="24" s="1"/>
  <c r="X21" i="24" s="1"/>
  <c r="F33" i="20" s="1"/>
  <c r="AQ32" i="24"/>
  <c r="AS32" i="24" s="1"/>
  <c r="AT32" i="24" s="1"/>
  <c r="V35" i="20" s="1"/>
  <c r="AQ45" i="24"/>
  <c r="AS45" i="24" s="1"/>
  <c r="AT45" i="24" s="1"/>
  <c r="AL35" i="20" s="1"/>
  <c r="AQ39" i="24"/>
  <c r="AS39" i="24" s="1"/>
  <c r="AT39" i="24" s="1"/>
  <c r="AD35" i="20" s="1"/>
  <c r="U39" i="24"/>
  <c r="W39" i="24" s="1"/>
  <c r="X39" i="24" s="1"/>
  <c r="AD33" i="20" s="1"/>
  <c r="U32" i="24"/>
  <c r="W32" i="24" s="1"/>
  <c r="X32" i="24" s="1"/>
  <c r="V33" i="20" s="1"/>
  <c r="U45" i="24"/>
  <c r="W45" i="24" s="1"/>
  <c r="X45" i="24" s="1"/>
  <c r="AL33" i="20" s="1"/>
  <c r="AQ29" i="24"/>
  <c r="AS29" i="24" s="1"/>
  <c r="AT29" i="24" s="1"/>
  <c r="R35" i="20" s="1"/>
  <c r="AQ26" i="24"/>
  <c r="AS26" i="24" s="1"/>
  <c r="AT26" i="24" s="1"/>
  <c r="N35" i="20" s="1"/>
  <c r="U24" i="24"/>
  <c r="W24" i="24" s="1"/>
  <c r="X24" i="24" s="1"/>
  <c r="J33" i="20" s="1"/>
  <c r="U29" i="24"/>
  <c r="W29" i="24" s="1"/>
  <c r="X29" i="24" s="1"/>
  <c r="R33" i="20" s="1"/>
  <c r="FS37" i="24"/>
  <c r="FU37" i="24" s="1"/>
  <c r="FV37" i="24" s="1"/>
  <c r="Z47" i="20" s="1"/>
  <c r="FS26" i="24"/>
  <c r="FU26" i="24" s="1"/>
  <c r="FV26" i="24" s="1"/>
  <c r="N47" i="20" s="1"/>
  <c r="FS32" i="24"/>
  <c r="FU32" i="24" s="1"/>
  <c r="FV32" i="24" s="1"/>
  <c r="V47" i="20" s="1"/>
  <c r="FS45" i="24"/>
  <c r="FU45" i="24" s="1"/>
  <c r="FV45" i="24" s="1"/>
  <c r="AL47" i="20" s="1"/>
  <c r="FS29" i="24"/>
  <c r="FU29" i="24" s="1"/>
  <c r="FV29" i="24" s="1"/>
  <c r="R47" i="20" s="1"/>
  <c r="FS24" i="24"/>
  <c r="FU24" i="24" s="1"/>
  <c r="FV24" i="24" s="1"/>
  <c r="J47" i="20" s="1"/>
  <c r="FS39" i="24"/>
  <c r="FU39" i="24" s="1"/>
  <c r="FV39" i="24" s="1"/>
  <c r="AD47" i="20" s="1"/>
  <c r="FS42" i="24"/>
  <c r="FU42" i="24" s="1"/>
  <c r="FV42" i="24" s="1"/>
  <c r="AH47" i="20" s="1"/>
  <c r="FS21" i="24"/>
  <c r="FU21" i="24" s="1"/>
  <c r="FV21" i="24" s="1"/>
  <c r="F47" i="20" s="1"/>
  <c r="GD32" i="24"/>
  <c r="GF32" i="24" s="1"/>
  <c r="GG32" i="24" s="1"/>
  <c r="V48" i="20" s="1"/>
  <c r="GD42" i="24"/>
  <c r="GF42" i="24" s="1"/>
  <c r="GG42" i="24" s="1"/>
  <c r="AH48" i="20" s="1"/>
  <c r="GD39" i="24"/>
  <c r="GF39" i="24" s="1"/>
  <c r="GG39" i="24" s="1"/>
  <c r="AD48" i="20" s="1"/>
  <c r="GD21" i="24"/>
  <c r="GF21" i="24" s="1"/>
  <c r="GG21" i="24" s="1"/>
  <c r="F48" i="20" s="1"/>
  <c r="GD45" i="24"/>
  <c r="GF45" i="24" s="1"/>
  <c r="GG45" i="24" s="1"/>
  <c r="AL48" i="20" s="1"/>
  <c r="GD26" i="24"/>
  <c r="GF26" i="24" s="1"/>
  <c r="GG26" i="24" s="1"/>
  <c r="N48" i="20" s="1"/>
  <c r="GD37" i="24"/>
  <c r="GF37" i="24" s="1"/>
  <c r="GG37" i="24" s="1"/>
  <c r="Z48" i="20" s="1"/>
  <c r="GD24" i="24"/>
  <c r="GF24" i="24" s="1"/>
  <c r="GG24" i="24" s="1"/>
  <c r="J48" i="20" s="1"/>
  <c r="GD29" i="24"/>
  <c r="GF29" i="24" s="1"/>
  <c r="GG29" i="24" s="1"/>
  <c r="R48" i="20" s="1"/>
  <c r="DQ21" i="6"/>
  <c r="AP16" i="20"/>
  <c r="AP62" i="20" s="1"/>
  <c r="D13" i="27" s="1"/>
  <c r="BB42" i="6"/>
  <c r="BD42" i="6" s="1"/>
  <c r="BE42" i="6" s="1"/>
  <c r="AH10" i="20" s="1"/>
  <c r="AZ42" i="6"/>
  <c r="BA42" i="6" s="1"/>
  <c r="AG10" i="20" s="1"/>
  <c r="GD29" i="6"/>
  <c r="GF29" i="6" s="1"/>
  <c r="GG29" i="6" s="1"/>
  <c r="R22" i="20" s="1"/>
  <c r="CI40" i="6"/>
  <c r="CK40" i="6" s="1"/>
  <c r="CL40" i="6" s="1"/>
  <c r="AF13" i="20" s="1"/>
  <c r="CG40" i="6"/>
  <c r="CH40" i="6" s="1"/>
  <c r="AE13" i="20" s="1"/>
  <c r="DG49" i="6"/>
  <c r="DG38" i="6"/>
  <c r="DH38" i="6" s="1"/>
  <c r="AB15" i="20" s="1"/>
  <c r="CI37" i="6"/>
  <c r="CG37" i="6"/>
  <c r="CH37" i="6" s="1"/>
  <c r="Y13" i="20" s="1"/>
  <c r="BE13" i="20"/>
  <c r="BE59" i="20" s="1"/>
  <c r="C42" i="27" s="1"/>
  <c r="S21" i="6"/>
  <c r="T21" i="6" s="1"/>
  <c r="E7" i="20" s="1"/>
  <c r="U21" i="6"/>
  <c r="AO7" i="20"/>
  <c r="AO53" i="20" s="1"/>
  <c r="C4" i="27" s="1"/>
  <c r="EA42" i="6"/>
  <c r="EC42" i="6" s="1"/>
  <c r="ED42" i="6" s="1"/>
  <c r="AH17" i="20" s="1"/>
  <c r="DY42" i="6"/>
  <c r="DZ42" i="6" s="1"/>
  <c r="AG17" i="20" s="1"/>
  <c r="CI21" i="6"/>
  <c r="CG21" i="6"/>
  <c r="CH21" i="6" s="1"/>
  <c r="E13" i="20" s="1"/>
  <c r="AO13" i="20"/>
  <c r="AO59" i="20" s="1"/>
  <c r="C10" i="27" s="1"/>
  <c r="FS24" i="6"/>
  <c r="FU24" i="6" s="1"/>
  <c r="FV24" i="6" s="1"/>
  <c r="J21" i="20" s="1"/>
  <c r="U37" i="6"/>
  <c r="W37" i="6" s="1"/>
  <c r="X37" i="6" s="1"/>
  <c r="Z7" i="20" s="1"/>
  <c r="FS33" i="6"/>
  <c r="FU33" i="6" s="1"/>
  <c r="FV33" i="6" s="1"/>
  <c r="X21" i="20" s="1"/>
  <c r="FQ33" i="6"/>
  <c r="FR33" i="6" s="1"/>
  <c r="W21" i="20" s="1"/>
  <c r="AF40" i="6"/>
  <c r="AH40" i="6" s="1"/>
  <c r="AI40" i="6" s="1"/>
  <c r="AF8" i="20" s="1"/>
  <c r="AD40" i="6"/>
  <c r="AE40" i="6" s="1"/>
  <c r="AE8" i="20" s="1"/>
  <c r="BK22" i="6"/>
  <c r="BL22" i="6" s="1"/>
  <c r="G11" i="20" s="1"/>
  <c r="BM22" i="6"/>
  <c r="BO22" i="6" s="1"/>
  <c r="BP22" i="6" s="1"/>
  <c r="H11" i="20" s="1"/>
  <c r="AQ11" i="20"/>
  <c r="DN43" i="6"/>
  <c r="DO43" i="6" s="1"/>
  <c r="AI16" i="20" s="1"/>
  <c r="DP43" i="6"/>
  <c r="DR43" i="6" s="1"/>
  <c r="DS43" i="6" s="1"/>
  <c r="AJ16" i="20" s="1"/>
  <c r="FF26" i="6"/>
  <c r="FG26" i="6" s="1"/>
  <c r="M20" i="20" s="1"/>
  <c r="FH26" i="6"/>
  <c r="FJ26" i="6" s="1"/>
  <c r="FK26" i="6" s="1"/>
  <c r="N20" i="20" s="1"/>
  <c r="AW20" i="20"/>
  <c r="AW66" i="20" s="1"/>
  <c r="C33" i="27" s="1"/>
  <c r="E33" i="27" s="1"/>
  <c r="I33" i="27" s="1"/>
  <c r="EA25" i="6"/>
  <c r="EC25" i="6" s="1"/>
  <c r="ED25" i="6" s="1"/>
  <c r="L17" i="20" s="1"/>
  <c r="DY25" i="6"/>
  <c r="DZ25" i="6" s="1"/>
  <c r="K17" i="20" s="1"/>
  <c r="AU17" i="20"/>
  <c r="AU58" i="20" s="1"/>
  <c r="CJ27" i="6"/>
  <c r="BH13" i="20"/>
  <c r="BH59" i="20" s="1"/>
  <c r="AZ13" i="20"/>
  <c r="AZ59" i="20" s="1"/>
  <c r="FS37" i="6"/>
  <c r="FU37" i="6" s="1"/>
  <c r="FV37" i="6" s="1"/>
  <c r="Z21" i="20" s="1"/>
  <c r="FQ37" i="6"/>
  <c r="FR37" i="6" s="1"/>
  <c r="Y21" i="20" s="1"/>
  <c r="BE21" i="20"/>
  <c r="BE67" i="20" s="1"/>
  <c r="C50" i="27" s="1"/>
  <c r="E50" i="27" s="1"/>
  <c r="I50" i="27" s="1"/>
  <c r="FS30" i="6"/>
  <c r="FU30" i="6" s="1"/>
  <c r="FV30" i="6" s="1"/>
  <c r="T21" i="20" s="1"/>
  <c r="FQ30" i="6"/>
  <c r="FR30" i="6" s="1"/>
  <c r="S21" i="20" s="1"/>
  <c r="EJ26" i="6"/>
  <c r="EK26" i="6" s="1"/>
  <c r="M18" i="20" s="1"/>
  <c r="EL26" i="6"/>
  <c r="EN26" i="6" s="1"/>
  <c r="EO26" i="6" s="1"/>
  <c r="N18" i="20" s="1"/>
  <c r="AW18" i="20"/>
  <c r="AW64" i="20" s="1"/>
  <c r="C31" i="27" s="1"/>
  <c r="E31" i="27" s="1"/>
  <c r="I31" i="27" s="1"/>
  <c r="BN21" i="6"/>
  <c r="AP11" i="20"/>
  <c r="AP57" i="20" s="1"/>
  <c r="D8" i="27" s="1"/>
  <c r="G27" i="20"/>
  <c r="G26" i="20"/>
  <c r="DF21" i="6"/>
  <c r="AP15" i="20"/>
  <c r="AP61" i="20" s="1"/>
  <c r="D12" i="27" s="1"/>
  <c r="AM27" i="20"/>
  <c r="AM26" i="20"/>
  <c r="GD26" i="6"/>
  <c r="GF26" i="6" s="1"/>
  <c r="GG26" i="6" s="1"/>
  <c r="N22" i="20" s="1"/>
  <c r="GB26" i="6"/>
  <c r="GC26" i="6" s="1"/>
  <c r="M22" i="20" s="1"/>
  <c r="AW22" i="20"/>
  <c r="AW68" i="20" s="1"/>
  <c r="C35" i="27" s="1"/>
  <c r="E35" i="27" s="1"/>
  <c r="I35" i="27" s="1"/>
  <c r="FF33" i="6"/>
  <c r="FG33" i="6" s="1"/>
  <c r="W20" i="20" s="1"/>
  <c r="FH33" i="6"/>
  <c r="FJ33" i="6" s="1"/>
  <c r="FK33" i="6" s="1"/>
  <c r="X20" i="20" s="1"/>
  <c r="AZ40" i="6"/>
  <c r="BA40" i="6" s="1"/>
  <c r="AE10" i="20" s="1"/>
  <c r="BB40" i="6"/>
  <c r="BD40" i="6" s="1"/>
  <c r="BE40" i="6" s="1"/>
  <c r="AF10" i="20" s="1"/>
  <c r="U27" i="24"/>
  <c r="W27" i="24" s="1"/>
  <c r="X27" i="24" s="1"/>
  <c r="P33" i="20" s="1"/>
  <c r="U22" i="24"/>
  <c r="W22" i="24" s="1"/>
  <c r="X22" i="24" s="1"/>
  <c r="H33" i="20" s="1"/>
  <c r="U46" i="24"/>
  <c r="W46" i="24" s="1"/>
  <c r="X46" i="24" s="1"/>
  <c r="AN33" i="20" s="1"/>
  <c r="AQ38" i="24"/>
  <c r="AS38" i="24" s="1"/>
  <c r="AT38" i="24" s="1"/>
  <c r="AB35" i="20" s="1"/>
  <c r="U30" i="24"/>
  <c r="W30" i="24" s="1"/>
  <c r="X30" i="24" s="1"/>
  <c r="T33" i="20" s="1"/>
  <c r="AQ33" i="24"/>
  <c r="AS33" i="24" s="1"/>
  <c r="AT33" i="24" s="1"/>
  <c r="X35" i="20" s="1"/>
  <c r="AQ46" i="24"/>
  <c r="AS46" i="24" s="1"/>
  <c r="AT46" i="24" s="1"/>
  <c r="AN35" i="20" s="1"/>
  <c r="AQ27" i="24"/>
  <c r="AS27" i="24" s="1"/>
  <c r="AT27" i="24" s="1"/>
  <c r="P35" i="20" s="1"/>
  <c r="AQ25" i="24"/>
  <c r="AS25" i="24" s="1"/>
  <c r="AT25" i="24" s="1"/>
  <c r="L35" i="20" s="1"/>
  <c r="U38" i="24"/>
  <c r="W38" i="24" s="1"/>
  <c r="X38" i="24" s="1"/>
  <c r="AB33" i="20" s="1"/>
  <c r="U33" i="24"/>
  <c r="W33" i="24" s="1"/>
  <c r="X33" i="24" s="1"/>
  <c r="X33" i="20" s="1"/>
  <c r="U25" i="24"/>
  <c r="W25" i="24" s="1"/>
  <c r="X25" i="24" s="1"/>
  <c r="L33" i="20" s="1"/>
  <c r="AQ40" i="24"/>
  <c r="AS40" i="24" s="1"/>
  <c r="AT40" i="24" s="1"/>
  <c r="AF35" i="20" s="1"/>
  <c r="U43" i="24"/>
  <c r="W43" i="24" s="1"/>
  <c r="X43" i="24" s="1"/>
  <c r="AJ33" i="20" s="1"/>
  <c r="AQ30" i="24"/>
  <c r="AS30" i="24" s="1"/>
  <c r="AT30" i="24" s="1"/>
  <c r="T35" i="20" s="1"/>
  <c r="U40" i="24"/>
  <c r="W40" i="24" s="1"/>
  <c r="X40" i="24" s="1"/>
  <c r="AF33" i="20" s="1"/>
  <c r="AQ22" i="24"/>
  <c r="AS22" i="24" s="1"/>
  <c r="AT22" i="24" s="1"/>
  <c r="H35" i="20" s="1"/>
  <c r="AQ43" i="24"/>
  <c r="AS43" i="24" s="1"/>
  <c r="AT43" i="24" s="1"/>
  <c r="AJ35" i="20" s="1"/>
  <c r="AF38" i="24"/>
  <c r="AH38" i="24" s="1"/>
  <c r="AI38" i="24" s="1"/>
  <c r="AB34" i="20" s="1"/>
  <c r="AF40" i="24"/>
  <c r="AH40" i="24" s="1"/>
  <c r="AI40" i="24" s="1"/>
  <c r="AF34" i="20" s="1"/>
  <c r="AF30" i="24"/>
  <c r="AH30" i="24" s="1"/>
  <c r="AI30" i="24" s="1"/>
  <c r="T34" i="20" s="1"/>
  <c r="AF46" i="24"/>
  <c r="AH46" i="24" s="1"/>
  <c r="AI46" i="24" s="1"/>
  <c r="AN34" i="20" s="1"/>
  <c r="AF27" i="24"/>
  <c r="AH27" i="24" s="1"/>
  <c r="AI27" i="24" s="1"/>
  <c r="P34" i="20" s="1"/>
  <c r="AF22" i="24"/>
  <c r="AH22" i="24" s="1"/>
  <c r="AI22" i="24" s="1"/>
  <c r="H34" i="20" s="1"/>
  <c r="AF25" i="24"/>
  <c r="AH25" i="24" s="1"/>
  <c r="AI25" i="24" s="1"/>
  <c r="L34" i="20" s="1"/>
  <c r="AF33" i="24"/>
  <c r="AH33" i="24" s="1"/>
  <c r="AI33" i="24" s="1"/>
  <c r="X34" i="20" s="1"/>
  <c r="AF43" i="24"/>
  <c r="AH43" i="24" s="1"/>
  <c r="AI43" i="24" s="1"/>
  <c r="AJ34" i="20" s="1"/>
  <c r="GD22" i="24"/>
  <c r="GF22" i="24" s="1"/>
  <c r="GG22" i="24" s="1"/>
  <c r="H48" i="20" s="1"/>
  <c r="GD30" i="24"/>
  <c r="GF30" i="24" s="1"/>
  <c r="GG30" i="24" s="1"/>
  <c r="T48" i="20" s="1"/>
  <c r="GD25" i="24"/>
  <c r="GF25" i="24" s="1"/>
  <c r="GG25" i="24" s="1"/>
  <c r="L48" i="20" s="1"/>
  <c r="GD40" i="24"/>
  <c r="GF40" i="24" s="1"/>
  <c r="GG40" i="24" s="1"/>
  <c r="AF48" i="20" s="1"/>
  <c r="GD38" i="24"/>
  <c r="GF38" i="24" s="1"/>
  <c r="GG38" i="24" s="1"/>
  <c r="AB48" i="20" s="1"/>
  <c r="GD33" i="24"/>
  <c r="GF33" i="24" s="1"/>
  <c r="GG33" i="24" s="1"/>
  <c r="X48" i="20" s="1"/>
  <c r="GD27" i="24"/>
  <c r="GF27" i="24" s="1"/>
  <c r="GG27" i="24" s="1"/>
  <c r="P48" i="20" s="1"/>
  <c r="GD43" i="24"/>
  <c r="GF43" i="24" s="1"/>
  <c r="GG43" i="24" s="1"/>
  <c r="AJ48" i="20" s="1"/>
  <c r="GD46" i="24"/>
  <c r="GF46" i="24" s="1"/>
  <c r="GG46" i="24" s="1"/>
  <c r="AN48" i="20" s="1"/>
  <c r="BK43" i="6"/>
  <c r="BL43" i="6" s="1"/>
  <c r="AI11" i="20" s="1"/>
  <c r="BM43" i="6"/>
  <c r="BO43" i="6" s="1"/>
  <c r="BP43" i="6" s="1"/>
  <c r="AJ11" i="20" s="1"/>
  <c r="FT38" i="6"/>
  <c r="BL21" i="20"/>
  <c r="BD21" i="20"/>
  <c r="BD67" i="20" s="1"/>
  <c r="AC27" i="20"/>
  <c r="AC26" i="20"/>
  <c r="FT22" i="6"/>
  <c r="AR21" i="20"/>
  <c r="AR62" i="20" s="1"/>
  <c r="BY37" i="6"/>
  <c r="BF12" i="20"/>
  <c r="BF58" i="20" s="1"/>
  <c r="D41" i="27" s="1"/>
  <c r="BV42" i="6"/>
  <c r="BW42" i="6" s="1"/>
  <c r="AG12" i="20" s="1"/>
  <c r="BX42" i="6"/>
  <c r="BZ42" i="6" s="1"/>
  <c r="CA42" i="6" s="1"/>
  <c r="AH12" i="20" s="1"/>
  <c r="GD21" i="6"/>
  <c r="GF21" i="6" s="1"/>
  <c r="GG21" i="6" s="1"/>
  <c r="F22" i="20" s="1"/>
  <c r="GB21" i="6"/>
  <c r="GC21" i="6" s="1"/>
  <c r="E22" i="20" s="1"/>
  <c r="AO22" i="20"/>
  <c r="AO68" i="20" s="1"/>
  <c r="C19" i="27" s="1"/>
  <c r="E19" i="27" s="1"/>
  <c r="I19" i="27" s="1"/>
  <c r="DG54" i="6"/>
  <c r="DG45" i="6"/>
  <c r="DH45" i="6" s="1"/>
  <c r="AL15" i="20" s="1"/>
  <c r="EL40" i="6"/>
  <c r="EN40" i="6" s="1"/>
  <c r="EO40" i="6" s="1"/>
  <c r="AF18" i="20" s="1"/>
  <c r="EJ40" i="6"/>
  <c r="EK40" i="6" s="1"/>
  <c r="AE18" i="20" s="1"/>
  <c r="EL37" i="6"/>
  <c r="EN37" i="6" s="1"/>
  <c r="EO37" i="6" s="1"/>
  <c r="Z18" i="20" s="1"/>
  <c r="EJ37" i="6"/>
  <c r="EK37" i="6" s="1"/>
  <c r="Y18" i="20" s="1"/>
  <c r="BE18" i="20"/>
  <c r="BE64" i="20" s="1"/>
  <c r="C47" i="27" s="1"/>
  <c r="E47" i="27" s="1"/>
  <c r="I47" i="27" s="1"/>
  <c r="BK30" i="6"/>
  <c r="BL30" i="6" s="1"/>
  <c r="S11" i="20" s="1"/>
  <c r="BM30" i="6"/>
  <c r="BO30" i="6" s="1"/>
  <c r="BP30" i="6" s="1"/>
  <c r="T11" i="20" s="1"/>
  <c r="AQ26" i="6"/>
  <c r="AS26" i="6" s="1"/>
  <c r="AT26" i="6" s="1"/>
  <c r="N9" i="20" s="1"/>
  <c r="AO26" i="6"/>
  <c r="AP26" i="6" s="1"/>
  <c r="M9" i="20" s="1"/>
  <c r="AW9" i="20"/>
  <c r="AW55" i="20" s="1"/>
  <c r="C22" i="27" s="1"/>
  <c r="E22" i="27" s="1"/>
  <c r="I22" i="27" s="1"/>
  <c r="BB21" i="6"/>
  <c r="BD21" i="6" s="1"/>
  <c r="BE21" i="6" s="1"/>
  <c r="F10" i="20" s="1"/>
  <c r="AZ21" i="6"/>
  <c r="BA21" i="6" s="1"/>
  <c r="E10" i="20" s="1"/>
  <c r="AO10" i="20"/>
  <c r="AO56" i="20" s="1"/>
  <c r="C7" i="27" s="1"/>
  <c r="E7" i="27" s="1"/>
  <c r="I7" i="27" s="1"/>
  <c r="BV38" i="6"/>
  <c r="BW38" i="6" s="1"/>
  <c r="AA12" i="20" s="1"/>
  <c r="BX38" i="6"/>
  <c r="BZ38" i="6" s="1"/>
  <c r="CA38" i="6" s="1"/>
  <c r="AB12" i="20" s="1"/>
  <c r="BK12" i="20"/>
  <c r="BC12" i="20"/>
  <c r="BC58" i="20" s="1"/>
  <c r="BY27" i="6"/>
  <c r="BH12" i="20"/>
  <c r="BH58" i="20" s="1"/>
  <c r="AZ12" i="20"/>
  <c r="AZ58" i="20" s="1"/>
  <c r="GD43" i="6"/>
  <c r="GF43" i="6" s="1"/>
  <c r="GG43" i="6" s="1"/>
  <c r="AJ22" i="20" s="1"/>
  <c r="GB43" i="6"/>
  <c r="GC43" i="6" s="1"/>
  <c r="AI22" i="20" s="1"/>
  <c r="EL45" i="6"/>
  <c r="EN45" i="6" s="1"/>
  <c r="EO45" i="6" s="1"/>
  <c r="AL18" i="20" s="1"/>
  <c r="AF39" i="6"/>
  <c r="AH39" i="6" s="1"/>
  <c r="AI39" i="6" s="1"/>
  <c r="AD8" i="20" s="1"/>
  <c r="AD27" i="20" s="1"/>
  <c r="FF42" i="6"/>
  <c r="FG42" i="6" s="1"/>
  <c r="AG20" i="20" s="1"/>
  <c r="FH42" i="6"/>
  <c r="FJ42" i="6" s="1"/>
  <c r="FK42" i="6" s="1"/>
  <c r="AH20" i="20" s="1"/>
  <c r="EU32" i="6"/>
  <c r="EV32" i="6" s="1"/>
  <c r="U19" i="20" s="1"/>
  <c r="EW32" i="6"/>
  <c r="EY32" i="6" s="1"/>
  <c r="EZ32" i="6" s="1"/>
  <c r="V19" i="20" s="1"/>
  <c r="FF45" i="6"/>
  <c r="FG45" i="6" s="1"/>
  <c r="AK20" i="20" s="1"/>
  <c r="AK27" i="20" s="1"/>
  <c r="FH45" i="6"/>
  <c r="FJ45" i="6" s="1"/>
  <c r="FK45" i="6" s="1"/>
  <c r="AL20" i="20" s="1"/>
  <c r="EA39" i="6"/>
  <c r="EC39" i="6" s="1"/>
  <c r="ED39" i="6" s="1"/>
  <c r="AD17" i="20" s="1"/>
  <c r="EL43" i="6"/>
  <c r="EN43" i="6" s="1"/>
  <c r="EO43" i="6" s="1"/>
  <c r="AJ18" i="20" s="1"/>
  <c r="EJ43" i="6"/>
  <c r="EK43" i="6" s="1"/>
  <c r="AI18" i="20" s="1"/>
  <c r="EA26" i="6"/>
  <c r="EC26" i="6" s="1"/>
  <c r="ED26" i="6" s="1"/>
  <c r="N17" i="20" s="1"/>
  <c r="DY26" i="6"/>
  <c r="DZ26" i="6" s="1"/>
  <c r="M17" i="20" s="1"/>
  <c r="AW17" i="20"/>
  <c r="AW63" i="20" s="1"/>
  <c r="C30" i="27" s="1"/>
  <c r="E30" i="27" s="1"/>
  <c r="I30" i="27" s="1"/>
  <c r="BX45" i="24"/>
  <c r="BZ45" i="24" s="1"/>
  <c r="CA45" i="24" s="1"/>
  <c r="AL38" i="20" s="1"/>
  <c r="BX24" i="24"/>
  <c r="BZ24" i="24" s="1"/>
  <c r="CA24" i="24" s="1"/>
  <c r="J38" i="20" s="1"/>
  <c r="BX26" i="24"/>
  <c r="BZ26" i="24" s="1"/>
  <c r="CA26" i="24" s="1"/>
  <c r="N38" i="20" s="1"/>
  <c r="BX21" i="24"/>
  <c r="BZ21" i="24" s="1"/>
  <c r="CA21" i="24" s="1"/>
  <c r="F38" i="20" s="1"/>
  <c r="BX37" i="24"/>
  <c r="BZ37" i="24" s="1"/>
  <c r="CA37" i="24" s="1"/>
  <c r="Z38" i="20" s="1"/>
  <c r="BX32" i="24"/>
  <c r="BZ32" i="24" s="1"/>
  <c r="CA32" i="24" s="1"/>
  <c r="V38" i="20" s="1"/>
  <c r="BX42" i="24"/>
  <c r="BZ42" i="24" s="1"/>
  <c r="CA42" i="24" s="1"/>
  <c r="AH38" i="20" s="1"/>
  <c r="BX39" i="24"/>
  <c r="BZ39" i="24" s="1"/>
  <c r="CA39" i="24" s="1"/>
  <c r="AD38" i="20" s="1"/>
  <c r="BX29" i="24"/>
  <c r="BZ29" i="24" s="1"/>
  <c r="CA29" i="24" s="1"/>
  <c r="R38" i="20" s="1"/>
  <c r="AF21" i="24"/>
  <c r="AH21" i="24" s="1"/>
  <c r="AI21" i="24" s="1"/>
  <c r="F34" i="20" s="1"/>
  <c r="AF24" i="24"/>
  <c r="AH24" i="24" s="1"/>
  <c r="AI24" i="24" s="1"/>
  <c r="J34" i="20" s="1"/>
  <c r="AF32" i="24"/>
  <c r="AH32" i="24" s="1"/>
  <c r="AI32" i="24" s="1"/>
  <c r="V34" i="20" s="1"/>
  <c r="AF42" i="24"/>
  <c r="AH42" i="24" s="1"/>
  <c r="AI42" i="24" s="1"/>
  <c r="AH34" i="20" s="1"/>
  <c r="AF37" i="24"/>
  <c r="AH37" i="24" s="1"/>
  <c r="AI37" i="24" s="1"/>
  <c r="Z34" i="20" s="1"/>
  <c r="AF39" i="24"/>
  <c r="AH39" i="24" s="1"/>
  <c r="AI39" i="24" s="1"/>
  <c r="AD34" i="20" s="1"/>
  <c r="AF45" i="24"/>
  <c r="AH45" i="24" s="1"/>
  <c r="AI45" i="24" s="1"/>
  <c r="AL34" i="20" s="1"/>
  <c r="AF29" i="24"/>
  <c r="AH29" i="24" s="1"/>
  <c r="AI29" i="24" s="1"/>
  <c r="R34" i="20" s="1"/>
  <c r="AF26" i="24"/>
  <c r="AH26" i="24" s="1"/>
  <c r="AI26" i="24" s="1"/>
  <c r="N34" i="20" s="1"/>
  <c r="BB37" i="24"/>
  <c r="BD37" i="24" s="1"/>
  <c r="BE37" i="24" s="1"/>
  <c r="Z36" i="20" s="1"/>
  <c r="BB39" i="24"/>
  <c r="BD39" i="24" s="1"/>
  <c r="BE39" i="24" s="1"/>
  <c r="AD36" i="20" s="1"/>
  <c r="BB32" i="24"/>
  <c r="BD32" i="24" s="1"/>
  <c r="BE32" i="24" s="1"/>
  <c r="V36" i="20" s="1"/>
  <c r="BB42" i="24"/>
  <c r="BD42" i="24" s="1"/>
  <c r="BE42" i="24" s="1"/>
  <c r="AH36" i="20" s="1"/>
  <c r="BB29" i="24"/>
  <c r="BD29" i="24" s="1"/>
  <c r="BE29" i="24" s="1"/>
  <c r="R36" i="20" s="1"/>
  <c r="BB26" i="24"/>
  <c r="BD26" i="24" s="1"/>
  <c r="BE26" i="24" s="1"/>
  <c r="N36" i="20" s="1"/>
  <c r="BB24" i="24"/>
  <c r="BD24" i="24" s="1"/>
  <c r="BE24" i="24" s="1"/>
  <c r="J36" i="20" s="1"/>
  <c r="BB21" i="24"/>
  <c r="BD21" i="24" s="1"/>
  <c r="BE21" i="24" s="1"/>
  <c r="F36" i="20" s="1"/>
  <c r="BB45" i="24"/>
  <c r="BD45" i="24" s="1"/>
  <c r="BE45" i="24" s="1"/>
  <c r="AL36" i="20" s="1"/>
  <c r="BM21" i="24"/>
  <c r="BO21" i="24" s="1"/>
  <c r="BP21" i="24" s="1"/>
  <c r="F37" i="20" s="1"/>
  <c r="BM24" i="24"/>
  <c r="BO24" i="24" s="1"/>
  <c r="BP24" i="24" s="1"/>
  <c r="J37" i="20" s="1"/>
  <c r="BM26" i="24"/>
  <c r="BO26" i="24" s="1"/>
  <c r="BP26" i="24" s="1"/>
  <c r="N37" i="20" s="1"/>
  <c r="BM32" i="24"/>
  <c r="BO32" i="24" s="1"/>
  <c r="BP32" i="24" s="1"/>
  <c r="V37" i="20" s="1"/>
  <c r="BM45" i="24"/>
  <c r="BO45" i="24" s="1"/>
  <c r="BP45" i="24" s="1"/>
  <c r="AL37" i="20" s="1"/>
  <c r="BM29" i="24"/>
  <c r="BO29" i="24" s="1"/>
  <c r="BP29" i="24" s="1"/>
  <c r="R37" i="20" s="1"/>
  <c r="BM39" i="24"/>
  <c r="BO39" i="24" s="1"/>
  <c r="BP39" i="24" s="1"/>
  <c r="AD37" i="20" s="1"/>
  <c r="BM37" i="24"/>
  <c r="BO37" i="24" s="1"/>
  <c r="BP37" i="24" s="1"/>
  <c r="Z37" i="20" s="1"/>
  <c r="BM42" i="24"/>
  <c r="BO42" i="24" s="1"/>
  <c r="BP42" i="24" s="1"/>
  <c r="AH37" i="20" s="1"/>
  <c r="EL21" i="6"/>
  <c r="EN21" i="6" s="1"/>
  <c r="EO21" i="6" s="1"/>
  <c r="F18" i="20" s="1"/>
  <c r="EJ21" i="6"/>
  <c r="EK21" i="6" s="1"/>
  <c r="E18" i="20" s="1"/>
  <c r="AO18" i="20"/>
  <c r="AO64" i="20" s="1"/>
  <c r="C15" i="27" s="1"/>
  <c r="E15" i="27" s="1"/>
  <c r="I15" i="27" s="1"/>
  <c r="FF27" i="6"/>
  <c r="FG27" i="6" s="1"/>
  <c r="O20" i="20" s="1"/>
  <c r="FH27" i="6"/>
  <c r="FJ27" i="6" s="1"/>
  <c r="FK27" i="6" s="1"/>
  <c r="P20" i="20" s="1"/>
  <c r="BG20" i="20"/>
  <c r="BG66" i="20" s="1"/>
  <c r="AY20" i="20"/>
  <c r="AY66" i="20" s="1"/>
  <c r="CJ37" i="6"/>
  <c r="BF13" i="20"/>
  <c r="BF59" i="20" s="1"/>
  <c r="D42" i="27" s="1"/>
  <c r="FF43" i="6"/>
  <c r="FG43" i="6" s="1"/>
  <c r="AI20" i="20" s="1"/>
  <c r="FH43" i="6"/>
  <c r="FJ43" i="6" s="1"/>
  <c r="FK43" i="6" s="1"/>
  <c r="AJ20" i="20" s="1"/>
  <c r="AZ26" i="6"/>
  <c r="BA26" i="6" s="1"/>
  <c r="M10" i="20" s="1"/>
  <c r="BB26" i="6"/>
  <c r="BD26" i="6" s="1"/>
  <c r="BE26" i="6" s="1"/>
  <c r="N10" i="20" s="1"/>
  <c r="AW10" i="20"/>
  <c r="AW56" i="20" s="1"/>
  <c r="C23" i="27" s="1"/>
  <c r="E23" i="27" s="1"/>
  <c r="I23" i="27" s="1"/>
  <c r="V21" i="6"/>
  <c r="AP7" i="20"/>
  <c r="AP53" i="20" s="1"/>
  <c r="D4" i="27" s="1"/>
  <c r="CT40" i="6"/>
  <c r="CV40" i="6" s="1"/>
  <c r="CW40" i="6" s="1"/>
  <c r="AF14" i="20" s="1"/>
  <c r="CR40" i="6"/>
  <c r="CS40" i="6" s="1"/>
  <c r="AE14" i="20" s="1"/>
  <c r="GD37" i="6"/>
  <c r="GF37" i="6" s="1"/>
  <c r="GG37" i="6" s="1"/>
  <c r="Z22" i="20" s="1"/>
  <c r="CJ21" i="6"/>
  <c r="AP13" i="20"/>
  <c r="AP59" i="20" s="1"/>
  <c r="D10" i="27" s="1"/>
  <c r="DN42" i="6"/>
  <c r="DO42" i="6" s="1"/>
  <c r="AG16" i="20" s="1"/>
  <c r="DP42" i="6"/>
  <c r="DR42" i="6" s="1"/>
  <c r="DS42" i="6" s="1"/>
  <c r="AH16" i="20" s="1"/>
  <c r="AQ29" i="6"/>
  <c r="AS29" i="6" s="1"/>
  <c r="AT29" i="6" s="1"/>
  <c r="R9" i="20" s="1"/>
  <c r="AJ27" i="20" l="1"/>
  <c r="AJ26" i="20"/>
  <c r="AF26" i="20"/>
  <c r="AF27" i="20"/>
  <c r="E27" i="20"/>
  <c r="E26" i="20"/>
  <c r="DG42" i="6"/>
  <c r="DH42" i="6" s="1"/>
  <c r="AH15" i="20" s="1"/>
  <c r="DG51" i="6"/>
  <c r="BZ37" i="6"/>
  <c r="CA37" i="6" s="1"/>
  <c r="Z12" i="20" s="1"/>
  <c r="FU22" i="6"/>
  <c r="FV22" i="6" s="1"/>
  <c r="H21" i="20" s="1"/>
  <c r="E8" i="27"/>
  <c r="I8" i="27" s="1"/>
  <c r="DR21" i="6"/>
  <c r="DS21" i="6" s="1"/>
  <c r="F16" i="20" s="1"/>
  <c r="E29" i="27"/>
  <c r="I29" i="27" s="1"/>
  <c r="FJ37" i="6"/>
  <c r="FK37" i="6" s="1"/>
  <c r="Z20" i="20" s="1"/>
  <c r="E5" i="27"/>
  <c r="I5" i="27" s="1"/>
  <c r="DG55" i="24"/>
  <c r="DG46" i="24"/>
  <c r="DH46" i="24" s="1"/>
  <c r="AN41" i="20" s="1"/>
  <c r="DG49" i="24"/>
  <c r="DG38" i="24"/>
  <c r="DH38" i="24" s="1"/>
  <c r="AB41" i="20" s="1"/>
  <c r="E32" i="27"/>
  <c r="I32" i="27" s="1"/>
  <c r="AL27" i="20"/>
  <c r="CV26" i="6"/>
  <c r="CW26" i="6" s="1"/>
  <c r="N14" i="20" s="1"/>
  <c r="E28" i="27"/>
  <c r="I28" i="27" s="1"/>
  <c r="FJ22" i="6"/>
  <c r="FK22" i="6" s="1"/>
  <c r="H20" i="20" s="1"/>
  <c r="DG51" i="24"/>
  <c r="DG42" i="24"/>
  <c r="DH42" i="24" s="1"/>
  <c r="AH41" i="20" s="1"/>
  <c r="CK26" i="6"/>
  <c r="CL26" i="6" s="1"/>
  <c r="N13" i="20" s="1"/>
  <c r="FU27" i="6"/>
  <c r="FV27" i="6" s="1"/>
  <c r="P21" i="20" s="1"/>
  <c r="GF38" i="6"/>
  <c r="GG38" i="6" s="1"/>
  <c r="AB22" i="20" s="1"/>
  <c r="E18" i="27"/>
  <c r="I18" i="27" s="1"/>
  <c r="AI26" i="20"/>
  <c r="AI27" i="20"/>
  <c r="E10" i="27"/>
  <c r="I10" i="27" s="1"/>
  <c r="E42" i="27"/>
  <c r="I42" i="27" s="1"/>
  <c r="BZ27" i="6"/>
  <c r="CA27" i="6" s="1"/>
  <c r="P12" i="20" s="1"/>
  <c r="AD26" i="20"/>
  <c r="E12" i="27"/>
  <c r="I12" i="27" s="1"/>
  <c r="BO21" i="6"/>
  <c r="BP21" i="6" s="1"/>
  <c r="F11" i="20" s="1"/>
  <c r="AK26" i="20"/>
  <c r="AH21" i="6"/>
  <c r="AI21" i="6" s="1"/>
  <c r="F8" i="20" s="1"/>
  <c r="E9" i="27"/>
  <c r="I9" i="27" s="1"/>
  <c r="BD37" i="6"/>
  <c r="BE37" i="6" s="1"/>
  <c r="Z10" i="20" s="1"/>
  <c r="EY26" i="6"/>
  <c r="EZ26" i="6" s="1"/>
  <c r="N19" i="20" s="1"/>
  <c r="E48" i="27"/>
  <c r="I48" i="27" s="1"/>
  <c r="E6" i="27"/>
  <c r="I6" i="27" s="1"/>
  <c r="DR24" i="6"/>
  <c r="DS24" i="6" s="1"/>
  <c r="J16" i="20" s="1"/>
  <c r="DG26" i="6"/>
  <c r="DH26" i="6" s="1"/>
  <c r="N15" i="20" s="1"/>
  <c r="FU26" i="6"/>
  <c r="FV26" i="6" s="1"/>
  <c r="N21" i="20" s="1"/>
  <c r="BZ22" i="6"/>
  <c r="CA22" i="6" s="1"/>
  <c r="H12" i="20" s="1"/>
  <c r="H27" i="20" s="1"/>
  <c r="E25" i="27"/>
  <c r="I25" i="27" s="1"/>
  <c r="E14" i="27"/>
  <c r="I14" i="27" s="1"/>
  <c r="E4" i="27"/>
  <c r="I4" i="27" s="1"/>
  <c r="FU38" i="6"/>
  <c r="FV38" i="6" s="1"/>
  <c r="AB21" i="20" s="1"/>
  <c r="DG21" i="6"/>
  <c r="DH21" i="6" s="1"/>
  <c r="F15" i="20" s="1"/>
  <c r="CK27" i="6"/>
  <c r="CL27" i="6" s="1"/>
  <c r="P13" i="20" s="1"/>
  <c r="DR26" i="6"/>
  <c r="DS26" i="6" s="1"/>
  <c r="N16" i="20" s="1"/>
  <c r="BO38" i="6"/>
  <c r="BP38" i="6" s="1"/>
  <c r="AB11" i="20" s="1"/>
  <c r="BZ21" i="6"/>
  <c r="CA21" i="6" s="1"/>
  <c r="F12" i="20" s="1"/>
  <c r="AH27" i="20"/>
  <c r="AH26" i="20"/>
  <c r="E20" i="27"/>
  <c r="I20" i="27" s="1"/>
  <c r="DG43" i="24"/>
  <c r="DH43" i="24" s="1"/>
  <c r="AJ41" i="20" s="1"/>
  <c r="DG52" i="24"/>
  <c r="W27" i="6"/>
  <c r="X27" i="6" s="1"/>
  <c r="P7" i="20" s="1"/>
  <c r="EY38" i="6"/>
  <c r="EZ38" i="6" s="1"/>
  <c r="AB19" i="20" s="1"/>
  <c r="EY37" i="6"/>
  <c r="EZ37" i="6" s="1"/>
  <c r="Z19" i="20" s="1"/>
  <c r="AH24" i="6"/>
  <c r="AI24" i="6" s="1"/>
  <c r="J8" i="20" s="1"/>
  <c r="E17" i="27"/>
  <c r="I17" i="27" s="1"/>
  <c r="E26" i="27"/>
  <c r="I26" i="27" s="1"/>
  <c r="E40" i="27"/>
  <c r="I40" i="27" s="1"/>
  <c r="DG22" i="6"/>
  <c r="DH22" i="6" s="1"/>
  <c r="H15" i="20" s="1"/>
  <c r="FU21" i="6"/>
  <c r="FV21" i="6" s="1"/>
  <c r="F21" i="20" s="1"/>
  <c r="AE27" i="20"/>
  <c r="AE26" i="20"/>
  <c r="CK21" i="6"/>
  <c r="CL21" i="6" s="1"/>
  <c r="F13" i="20" s="1"/>
  <c r="W21" i="6"/>
  <c r="X21" i="6" s="1"/>
  <c r="F7" i="20" s="1"/>
  <c r="CK37" i="6"/>
  <c r="CL37" i="6" s="1"/>
  <c r="Z13" i="20" s="1"/>
  <c r="E41" i="27"/>
  <c r="I41" i="27" s="1"/>
  <c r="E13" i="27"/>
  <c r="I13" i="27" s="1"/>
  <c r="E49" i="27"/>
  <c r="I49" i="27" s="1"/>
  <c r="CV38" i="6"/>
  <c r="CW38" i="6" s="1"/>
  <c r="AB14" i="20" s="1"/>
  <c r="AG27" i="20"/>
  <c r="AG26" i="20"/>
  <c r="W26" i="6"/>
  <c r="X26" i="6" s="1"/>
  <c r="N7" i="20" s="1"/>
  <c r="E39" i="27"/>
  <c r="I39" i="27" s="1"/>
  <c r="AS21" i="6"/>
  <c r="AT21" i="6" s="1"/>
  <c r="F9" i="20" s="1"/>
  <c r="E27" i="27"/>
  <c r="I27" i="27" s="1"/>
  <c r="FJ38" i="6"/>
  <c r="FK38" i="6" s="1"/>
  <c r="AB20" i="20" s="1"/>
  <c r="DG54" i="24"/>
  <c r="DG45" i="24"/>
  <c r="DH45" i="24" s="1"/>
  <c r="AL41" i="20" s="1"/>
  <c r="FJ21" i="6"/>
  <c r="FK21" i="6" s="1"/>
  <c r="F20" i="20" s="1"/>
  <c r="E34" i="27"/>
  <c r="I34" i="27" s="1"/>
  <c r="GF27" i="6"/>
  <c r="GG27" i="6" s="1"/>
  <c r="P22" i="20" s="1"/>
  <c r="BZ26" i="6"/>
  <c r="CA26" i="6" s="1"/>
  <c r="N12" i="20" s="1"/>
  <c r="BO37" i="6"/>
  <c r="BP37" i="6" s="1"/>
  <c r="Z11" i="20" s="1"/>
  <c r="EC21" i="6"/>
  <c r="ED21" i="6" s="1"/>
  <c r="F17" i="20" s="1"/>
  <c r="CK22" i="6"/>
  <c r="CL22" i="6" s="1"/>
  <c r="H13" i="20" s="1"/>
  <c r="CK38" i="6"/>
  <c r="CL38" i="6" s="1"/>
  <c r="AB13" i="20" s="1"/>
  <c r="H26" i="20" l="1"/>
  <c r="F27" i="20"/>
  <c r="F26" i="20"/>
</calcChain>
</file>

<file path=xl/comments1.xml><?xml version="1.0" encoding="utf-8"?>
<comments xmlns="http://schemas.openxmlformats.org/spreadsheetml/2006/main">
  <authors>
    <author>Devin Rauss</author>
  </authors>
  <commentList>
    <comment ref="J29" authorId="0" shapeId="0">
      <text>
        <r>
          <rPr>
            <b/>
            <sz val="8"/>
            <color indexed="81"/>
            <rFont val="Tahoma"/>
            <family val="2"/>
          </rPr>
          <t>Devin Rauss:</t>
        </r>
        <r>
          <rPr>
            <sz val="8"/>
            <color indexed="81"/>
            <rFont val="Tahoma"/>
            <family val="2"/>
          </rPr>
          <t xml:space="preserve">
This number seems high… It seems to be set to the same value as the fluorescent, but these operate at lower temp, so I would think less heat should enter.</t>
        </r>
      </text>
    </comment>
  </commentList>
</comments>
</file>

<file path=xl/sharedStrings.xml><?xml version="1.0" encoding="utf-8"?>
<sst xmlns="http://schemas.openxmlformats.org/spreadsheetml/2006/main" count="1680" uniqueCount="260">
  <si>
    <t>Freezer</t>
  </si>
  <si>
    <t xml:space="preserve"> Measure</t>
  </si>
  <si>
    <t>Annual Energy Savings</t>
  </si>
  <si>
    <t>Demand Savings</t>
  </si>
  <si>
    <r>
      <t>[</t>
    </r>
    <r>
      <rPr>
        <sz val="12"/>
        <color indexed="48"/>
        <rFont val="Arial"/>
        <family val="2"/>
      </rPr>
      <t>Btu/hr]</t>
    </r>
  </si>
  <si>
    <r>
      <t>[</t>
    </r>
    <r>
      <rPr>
        <vertAlign val="superscript"/>
        <sz val="12"/>
        <color indexed="48"/>
        <rFont val="Arial"/>
        <family val="2"/>
      </rPr>
      <t>o</t>
    </r>
    <r>
      <rPr>
        <sz val="12"/>
        <color indexed="48"/>
        <rFont val="Arial"/>
        <family val="2"/>
      </rPr>
      <t>F]</t>
    </r>
  </si>
  <si>
    <t>Box Temp</t>
  </si>
  <si>
    <t>SET</t>
  </si>
  <si>
    <t>SCT</t>
  </si>
  <si>
    <t>[Btu/hr/watts]</t>
  </si>
  <si>
    <t>[kW]</t>
  </si>
  <si>
    <r>
      <t>[</t>
    </r>
    <r>
      <rPr>
        <sz val="12"/>
        <color indexed="48"/>
        <rFont val="Symbol"/>
        <family val="1"/>
        <charset val="2"/>
      </rPr>
      <t>D</t>
    </r>
    <r>
      <rPr>
        <sz val="12"/>
        <color indexed="48"/>
        <rFont val="Arial"/>
        <family val="2"/>
      </rPr>
      <t>kWh]</t>
    </r>
  </si>
  <si>
    <r>
      <t>[</t>
    </r>
    <r>
      <rPr>
        <sz val="12"/>
        <color indexed="48"/>
        <rFont val="Symbol"/>
        <family val="1"/>
        <charset val="2"/>
      </rPr>
      <t>D</t>
    </r>
    <r>
      <rPr>
        <sz val="12"/>
        <color indexed="48"/>
        <rFont val="Arial"/>
        <family val="2"/>
      </rPr>
      <t>kW]</t>
    </r>
  </si>
  <si>
    <t>Measure Unit</t>
  </si>
  <si>
    <t>Total Unit</t>
  </si>
  <si>
    <t>Demand Savings per Unit</t>
  </si>
  <si>
    <r>
      <t>[</t>
    </r>
    <r>
      <rPr>
        <sz val="12"/>
        <color indexed="48"/>
        <rFont val="Symbol"/>
        <family val="1"/>
        <charset val="2"/>
      </rPr>
      <t>D</t>
    </r>
    <r>
      <rPr>
        <sz val="12"/>
        <color indexed="48"/>
        <rFont val="Arial"/>
        <family val="2"/>
      </rPr>
      <t>kW/unit]</t>
    </r>
  </si>
  <si>
    <r>
      <t>[</t>
    </r>
    <r>
      <rPr>
        <sz val="12"/>
        <color indexed="48"/>
        <rFont val="Symbol"/>
        <family val="1"/>
        <charset val="2"/>
      </rPr>
      <t>D</t>
    </r>
    <r>
      <rPr>
        <sz val="12"/>
        <color indexed="48"/>
        <rFont val="Arial"/>
        <family val="2"/>
      </rPr>
      <t>kWh/unit]</t>
    </r>
  </si>
  <si>
    <t>Annual Energy (Old Syst.)</t>
  </si>
  <si>
    <t>Annual Energy (New Syst.)</t>
  </si>
  <si>
    <t>Annual Energy Savings per Unit</t>
  </si>
  <si>
    <t>Defrost Factor</t>
  </si>
  <si>
    <t>Weather Div. Factor</t>
  </si>
  <si>
    <t>Overall Duty Cycle Factor</t>
  </si>
  <si>
    <t>Total Hours</t>
  </si>
  <si>
    <t>Oversizing Factor (OS)</t>
  </si>
  <si>
    <t>Baseline Cooling Load</t>
  </si>
  <si>
    <t>Compressor Capacity (Baseline Cooling Load with 15% OS)</t>
  </si>
  <si>
    <t>Post Retrofit Cooling Load</t>
  </si>
  <si>
    <t>Part-Load-Ratio (Post Retrofit / Comp Cap)</t>
  </si>
  <si>
    <t>EFLH</t>
  </si>
  <si>
    <t>Comp kW (baseline)</t>
  </si>
  <si>
    <t>Baseline Comp EER</t>
  </si>
  <si>
    <t>Post Retrofit Comp EER</t>
  </si>
  <si>
    <t>Post Retrofit Comp kW</t>
  </si>
  <si>
    <r>
      <t>CTZ 1 - Arcata 
Summer Design Dry Bulb (ASHRAE Climatic Region X Data, 0.5% Column) [69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</si>
  <si>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2 - Santa Rosa 
Summer Design Dry Bulb (ASHRAE Climatic Region X Data, 0.5% Column) [96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</si>
  <si>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3 - Oakland 
Summer Design Dry Bulb (ASHRAE Climatic Region X Data, 0.5% Column) [89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</si>
  <si>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4 - Sunnyvale 
Summer Design Dry Bulb (ASHRAE Climatic Region X Data, 0.5% Column) [88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</si>
  <si>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5 - Santa Maria 
Summer Design Dry Bulb (ASHRAE Climatic Region X Data, 0.5% Column) [83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</si>
  <si>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7 - San Diego 
Summer Design Dry Bulb (ASHRAE Climatic Region X Data, 0.5% Column) [83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</si>
  <si>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10 - Riverside 
Summer Design Dry Bulb (ASHRAE Climatic Region X Data, 0.5% Column) [100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</si>
  <si>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11 - Red Bluff 
Summer Design Dry Bulb (ASHRAE Climatic Region X Data, 0.5% Column) [104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</si>
  <si>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12 - Sacramento 
Summer Design Dry Bulb (ASHRAE Climatic Region X Data, 0.5% Column) [100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</si>
  <si>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13 - Fresno 
Summer Design Dry Bulb (ASHRAE Climatic Region X Data, 0.5% Column) [101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</si>
  <si>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[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</si>
  <si>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[</t>
    </r>
    <r>
      <rPr>
        <b/>
        <sz val="12"/>
        <color indexed="48"/>
        <rFont val="Symbol"/>
        <family val="1"/>
        <charset val="2"/>
      </rPr>
      <t>D</t>
    </r>
    <r>
      <rPr>
        <b/>
        <sz val="12"/>
        <color indexed="48"/>
        <rFont val="Arial"/>
        <family val="2"/>
      </rPr>
      <t>kW]</t>
    </r>
  </si>
  <si>
    <t>[kWh]</t>
  </si>
  <si>
    <t>Climate Zone</t>
  </si>
  <si>
    <r>
      <t>Arcata - 69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</si>
  <si>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r>
      <t>Santa Rosa - 96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</si>
  <si>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r>
      <t>Oakland - 89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</si>
  <si>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r>
      <t>Sunnyvale - 88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</si>
  <si>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r>
      <t>Santa Maria - 83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</si>
  <si>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r>
      <t>San Diego - 83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</si>
  <si>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r>
      <t>Riverside - 100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</si>
  <si>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r>
      <t>Red Bluff - 104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</si>
  <si>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r>
      <t>Sacramento - 100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</si>
  <si>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r>
      <t>Fresno - 101</t>
    </r>
    <r>
      <rPr>
        <vertAlign val="superscript"/>
        <sz val="10"/>
        <rFont val="Arial"/>
        <family val="2"/>
      </rPr>
      <t>o</t>
    </r>
    <r>
      <rPr>
        <sz val="10"/>
        <rFont val="Arial"/>
      </rPr>
      <t>F</t>
    </r>
  </si>
  <si>
    <t>Representative City and Temperature
(Summer Design Dry-Bubl, ASHRAE Climatic Region X Data, 0.5% Column)</t>
  </si>
  <si>
    <r>
      <t>Demand Savings (</t>
    </r>
    <r>
      <rPr>
        <sz val="10"/>
        <rFont val="Symbol"/>
        <family val="1"/>
        <charset val="2"/>
      </rPr>
      <t>D</t>
    </r>
    <r>
      <rPr>
        <sz val="10"/>
        <rFont val="Arial"/>
      </rPr>
      <t>kW/unit)</t>
    </r>
  </si>
  <si>
    <r>
      <t>Energy Savings (</t>
    </r>
    <r>
      <rPr>
        <sz val="10"/>
        <rFont val="Symbol"/>
        <family val="1"/>
        <charset val="2"/>
      </rPr>
      <t>D</t>
    </r>
    <r>
      <rPr>
        <sz val="10"/>
        <rFont val="Arial"/>
      </rPr>
      <t>kWh/unit)</t>
    </r>
  </si>
  <si>
    <t>MT</t>
  </si>
  <si>
    <t>LT</t>
  </si>
  <si>
    <t>Y = a+b*x1+c*x2+d*x1^2+e*x2^2+f*x1*x2+g*x1^3+h*x2^3+i*x1*x2^2+j*x1^2*x2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</si>
  <si>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</si>
  <si>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</si>
  <si>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</si>
  <si>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</si>
  <si>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</si>
  <si>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</si>
  <si>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</si>
  <si>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</si>
  <si>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</si>
  <si>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</si>
  <si>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CTZ1</t>
  </si>
  <si>
    <t>CTZ2</t>
  </si>
  <si>
    <t>CTZ3</t>
  </si>
  <si>
    <t>CTZ4</t>
  </si>
  <si>
    <t>CTZ5</t>
  </si>
  <si>
    <t>CTZ6</t>
  </si>
  <si>
    <t>CTZ7</t>
  </si>
  <si>
    <t>CTZ8</t>
  </si>
  <si>
    <t>CTZ9</t>
  </si>
  <si>
    <t>CTZ10</t>
  </si>
  <si>
    <t>CTZ11</t>
  </si>
  <si>
    <t>CTZ12</t>
  </si>
  <si>
    <t>CTZ13</t>
  </si>
  <si>
    <t>CTZ14</t>
  </si>
  <si>
    <t>CTZ15</t>
  </si>
  <si>
    <t>CTZ16</t>
  </si>
  <si>
    <t>Weather Factor</t>
  </si>
  <si>
    <t>Post Retrofit Duty Cycle Factor w/o Weather Factor Term</t>
  </si>
  <si>
    <t>Electrical Specifications</t>
  </si>
  <si>
    <t>Key Parameters</t>
  </si>
  <si>
    <t>Lamp description type</t>
  </si>
  <si>
    <t>Lamps per ballast</t>
  </si>
  <si>
    <t>Minimum starting temp. (F)</t>
  </si>
  <si>
    <t>Input volts</t>
  </si>
  <si>
    <t>Ballast factor</t>
  </si>
  <si>
    <t>Power factor</t>
  </si>
  <si>
    <t>Input power (W)</t>
  </si>
  <si>
    <t>Direct power (W/lamp)</t>
  </si>
  <si>
    <t>Power (kW) and Energy (kWh) Consumptions</t>
  </si>
  <si>
    <t>Direct power (kW/lamp)</t>
  </si>
  <si>
    <t>COP @ -20F using ARI 1200</t>
  </si>
  <si>
    <t>Indirect refrig power (kW/lamp)</t>
  </si>
  <si>
    <t>TOTAL elect. power (kW/lamp)</t>
  </si>
  <si>
    <t>TOTAL elect. power (kW/door)*</t>
  </si>
  <si>
    <t>Daily hours of operation</t>
  </si>
  <si>
    <t>Annual hours of operation</t>
  </si>
  <si>
    <t>Annual Energy Use (kWh/yr/door)</t>
  </si>
  <si>
    <t>*5-door display case equipped with 6 T8 or T12 lamps</t>
  </si>
  <si>
    <t xml:space="preserve">Grocery </t>
  </si>
  <si>
    <t>Grocery</t>
  </si>
  <si>
    <t>/Door</t>
  </si>
  <si>
    <t>Cooling Load (Btu/hr/door)</t>
  </si>
  <si>
    <t>incl. direct</t>
  </si>
  <si>
    <t>---</t>
  </si>
  <si>
    <t>Cooling load due to lighting system (Btu/hr/door)</t>
  </si>
  <si>
    <t>Cold Cathode</t>
  </si>
  <si>
    <t>Change in cooling load T12 base (Btu/hr/door)</t>
  </si>
  <si>
    <t>Change in cooling load T8 base (Btu/hr/door)</t>
  </si>
  <si>
    <t>Direct Energy Reduction</t>
  </si>
  <si>
    <t>Direct Power Reduction</t>
  </si>
  <si>
    <r>
      <t>[</t>
    </r>
    <r>
      <rPr>
        <sz val="12"/>
        <color indexed="48"/>
        <rFont val="Arial"/>
        <family val="2"/>
      </rPr>
      <t>kW]</t>
    </r>
  </si>
  <si>
    <r>
      <t>[</t>
    </r>
    <r>
      <rPr>
        <sz val="12"/>
        <color indexed="48"/>
        <rFont val="Arial"/>
        <family val="2"/>
      </rPr>
      <t>kWh]</t>
    </r>
  </si>
  <si>
    <t>Change reference after Copy/paste</t>
  </si>
  <si>
    <t>% of heat entering cold space</t>
  </si>
  <si>
    <t>MT, T12 to CC retrofit</t>
  </si>
  <si>
    <t>LT, T12 to CC retrofit</t>
  </si>
  <si>
    <t>Lighting Retrofits for Reach-ins (T8 Baseline)</t>
  </si>
  <si>
    <t>MT, T8 to FO retrofit</t>
  </si>
  <si>
    <t>LT, T8 to FO retrofit</t>
  </si>
  <si>
    <t>MT, T8 to CC retrofit</t>
  </si>
  <si>
    <t>LT, T8 to CC retrofit</t>
  </si>
  <si>
    <t>Lighting Retrofits for Reach-ins (T12 Baseline)</t>
  </si>
  <si>
    <t>Single Compressor System</t>
  </si>
  <si>
    <t>Multiplex Compressor System</t>
  </si>
  <si>
    <t>Representative City and Temperature
(Summer Design Dry-Bulb, ASHRAE Climatic Region X Data, 0.5% Column)</t>
  </si>
  <si>
    <t>Demand w/Interactive Effects for original measures</t>
  </si>
  <si>
    <t>Lighting power savings T12 base (kW/fixt)</t>
  </si>
  <si>
    <t>Lighting power savings T8 base(kW/fixt)</t>
  </si>
  <si>
    <t>Direct power (kW/fixt)</t>
  </si>
  <si>
    <t>MT, (2)T12 to LED Canopy</t>
  </si>
  <si>
    <t>LT, (2)T12 to LED Canopy</t>
  </si>
  <si>
    <t>MT, (1)T12 to LED Canopy</t>
  </si>
  <si>
    <t>LT, (1)T12 to LED Canopy</t>
  </si>
  <si>
    <t>MT, (2)T8 to LED Canopy</t>
  </si>
  <si>
    <t>LT, (2)T8 to LED Canopy</t>
  </si>
  <si>
    <t>MT, (1)T8 to LED Canopy</t>
  </si>
  <si>
    <t>LT, (1)T8 to LED Canopy</t>
  </si>
  <si>
    <t>MT, (1)T12 to LED Shelf</t>
  </si>
  <si>
    <t>LT, (1)T12 to LED Shelf</t>
  </si>
  <si>
    <t>MT, (1)T8 to LED Shelf</t>
  </si>
  <si>
    <t>LT, (1)T8 to LED Shelf</t>
  </si>
  <si>
    <t>/Fixture</t>
  </si>
  <si>
    <t>Direct annual energy (kWh/fixt/year)*</t>
  </si>
  <si>
    <t>Annual lighting energy savings T12 base (kWh/fixt/year)</t>
  </si>
  <si>
    <t>Annual lighting energy savings T8 base (kWh/fixt/year)</t>
  </si>
  <si>
    <t>Measure
4' LED</t>
  </si>
  <si>
    <t>Base
4' (1)T8</t>
  </si>
  <si>
    <t>2T12 Canopy</t>
  </si>
  <si>
    <t>1T12 Canopy</t>
  </si>
  <si>
    <t>2T8 Canopy</t>
  </si>
  <si>
    <t>1T8 Canopy</t>
  </si>
  <si>
    <t>1T12 Shelf</t>
  </si>
  <si>
    <t>Replacing</t>
  </si>
  <si>
    <t>Typical Wattage</t>
  </si>
  <si>
    <t>Quant.</t>
  </si>
  <si>
    <t>Length</t>
  </si>
  <si>
    <t>Brand</t>
  </si>
  <si>
    <t>Product Code</t>
  </si>
  <si>
    <t>Wattage Saved</t>
  </si>
  <si>
    <t>% saved</t>
  </si>
  <si>
    <t>Lumens</t>
  </si>
  <si>
    <t>Wattage</t>
  </si>
  <si>
    <t>Undershelf</t>
  </si>
  <si>
    <t>LEDPower</t>
  </si>
  <si>
    <t>GE</t>
  </si>
  <si>
    <t>GE led horizontal application</t>
  </si>
  <si>
    <t>Philps</t>
  </si>
  <si>
    <t>Philips shelf lighting</t>
  </si>
  <si>
    <t>Sylvania</t>
  </si>
  <si>
    <t>sylvania shelf lighting</t>
  </si>
  <si>
    <t>LED Replacement Savings</t>
  </si>
  <si>
    <t>%</t>
  </si>
  <si>
    <t>Canopy</t>
  </si>
  <si>
    <t>Philips Canopy Lighting</t>
  </si>
  <si>
    <t>N/A</t>
  </si>
  <si>
    <t>Average</t>
  </si>
  <si>
    <t>1-36"T12</t>
  </si>
  <si>
    <t>36"</t>
  </si>
  <si>
    <t>GE-MT303640USL</t>
  </si>
  <si>
    <t>35"</t>
  </si>
  <si>
    <t>LCM310 900mm</t>
  </si>
  <si>
    <t>LSX/Strip/24V/840/36</t>
  </si>
  <si>
    <t>1-36"T8</t>
  </si>
  <si>
    <t>2-36"T12</t>
  </si>
  <si>
    <t>GE-MT303640CAN</t>
  </si>
  <si>
    <t>LDM422 35" value plus</t>
  </si>
  <si>
    <t>NA</t>
  </si>
  <si>
    <t>2-36"T8</t>
  </si>
  <si>
    <t>2 - 3' T12</t>
  </si>
  <si>
    <t>1 - 3' T12HO</t>
  </si>
  <si>
    <t>2 - 3' T8</t>
  </si>
  <si>
    <t>1 - 3' T8</t>
  </si>
  <si>
    <t>3' Canopy (2)</t>
  </si>
  <si>
    <t>3' Canopy (1)</t>
  </si>
  <si>
    <t>3' Shelf (1)</t>
  </si>
  <si>
    <t>F32SHS F36T12HO</t>
  </si>
  <si>
    <t>F32SE F30T12</t>
  </si>
  <si>
    <t>F32ILL F32T8-STD</t>
  </si>
  <si>
    <t>1T8 Shelf</t>
  </si>
  <si>
    <t>Single</t>
  </si>
  <si>
    <t>Base
3' (2)T12</t>
  </si>
  <si>
    <t>Measure
3' LED</t>
  </si>
  <si>
    <t>Base
3' (1)T12</t>
  </si>
  <si>
    <t>Base
3' (2)T8</t>
  </si>
  <si>
    <t>Measure 3' LED</t>
  </si>
  <si>
    <t>Base
3' (1)T8</t>
  </si>
  <si>
    <t>Torrance - 86⁰F</t>
  </si>
  <si>
    <t>Fullerton - 94⁰F</t>
  </si>
  <si>
    <t>Burbank-Glendale - 96⁰F</t>
  </si>
  <si>
    <t>Palmdale - 103⁰F</t>
  </si>
  <si>
    <t>Palm Springs-Intl - 113⁰F</t>
  </si>
  <si>
    <t>Blue Canyon - 85⁰F</t>
  </si>
  <si>
    <r>
      <t>CTZ 6 - Torrance
Summer Design Dry Bulb (ASHRAE Climatic Region X Data, 0.5% Column) [86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</si>
  <si>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8 - Fullerton 
Summer Design Dry Bulb (ASHRAE Climatic Region X Data, 0.5% Column) [94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</si>
  <si>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9 - Burbank - Glendale 
Summer Design Dry Bulb (ASHRAE Climatic Region X Data, 0.5% Column) [96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</si>
  <si>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14 - Palmdale 
Summer Design Dry Bulb (ASHRAE Climatic Region X Data, 0.5% Column) [103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</si>
  <si>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15 - Palm Springs Intl 
Summer Design Dry Bulb (ASHRAE Climatic Region X Data, 0.5% Column) [113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</si>
  <si>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r>
      <t>CTZ 16 - Blue Canyon
Summer Design Dry Bulb (ASHRAE Climatic Region X Data, 0.5% Column) [85</t>
    </r>
    <r>
      <rPr>
        <b/>
        <vertAlign val="superscript"/>
        <sz val="12"/>
        <color indexed="48"/>
        <rFont val="Arial"/>
        <family val="2"/>
      </rPr>
      <t>o</t>
    </r>
    <r>
      <rPr>
        <b/>
        <sz val="12"/>
        <color indexed="48"/>
        <rFont val="Arial"/>
        <family val="2"/>
      </rPr>
      <t>F]</t>
    </r>
  </si>
  <si>
    <t>LT-49651</t>
  </si>
  <si>
    <t>LT-58674</t>
  </si>
  <si>
    <t>LT65612</t>
  </si>
  <si>
    <t>LT-75912</t>
  </si>
  <si>
    <t>Restaurant - Fast-Food</t>
  </si>
  <si>
    <t>Retail - Small</t>
  </si>
  <si>
    <t>Restaurant - Sit-Down</t>
  </si>
  <si>
    <t>Retail - Multistory Large</t>
  </si>
  <si>
    <t>Retail - Single-Story Large</t>
  </si>
  <si>
    <t>Warehouse - Refrigerated</t>
  </si>
  <si>
    <t>RFF</t>
  </si>
  <si>
    <t>RtS</t>
  </si>
  <si>
    <t>Gro</t>
  </si>
  <si>
    <t>RSD</t>
  </si>
  <si>
    <t>Rt3</t>
  </si>
  <si>
    <t>RtL</t>
  </si>
  <si>
    <t>WRf</t>
  </si>
  <si>
    <t>Ofs</t>
  </si>
  <si>
    <t>Office Small</t>
  </si>
  <si>
    <t>LT-65612</t>
  </si>
  <si>
    <t>Solution Code</t>
  </si>
  <si>
    <t>Base Watts</t>
  </si>
  <si>
    <t xml:space="preserve">Measure Watts </t>
  </si>
  <si>
    <t>Watts Saved</t>
  </si>
  <si>
    <t>Single Compressor</t>
  </si>
  <si>
    <t>Multiplex Compressor</t>
  </si>
  <si>
    <t>Average Watts Saved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</si>
</sst>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"/>
    <numFmt numFmtId="165" formatCode="0.00_);[Red]\(0.00\)"/>
    <numFmt numFmtId="166" formatCode="#,##0.0"/>
    <numFmt numFmtId="167" formatCode="#,##0.000"/>
    <numFmt numFmtId="168" formatCode="#,##0.0000"/>
    <numFmt numFmtId="169" formatCode="#,##0.00000"/>
    <numFmt numFmtId="170" formatCode="#,##0.000000"/>
    <numFmt numFmtId="171" formatCode="0.000"/>
    <numFmt numFmtId="172" formatCode="0.0000"/>
    <numFmt numFmtId="173" formatCode="0.000000"/>
    <numFmt numFmtId="174" formatCode="0.00000"/>
    <numFmt numFmtId="175" formatCode="0.0%"/>
    <numFmt numFmtId="176" formatCode="00000"/>
  </numFmts>
  <fonts count="2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color indexed="48"/>
      <name val="Arial"/>
      <family val="2"/>
    </font>
    <font>
      <sz val="12"/>
      <color indexed="48"/>
      <name val="Symbol"/>
      <family val="1"/>
      <charset val="2"/>
    </font>
    <font>
      <sz val="11"/>
      <name val="Arial"/>
      <family val="2"/>
    </font>
    <font>
      <sz val="11"/>
      <color indexed="16"/>
      <name val="Arial"/>
      <family val="2"/>
    </font>
    <font>
      <sz val="11"/>
      <color indexed="12"/>
      <name val="Arial"/>
      <family val="2"/>
    </font>
    <font>
      <i/>
      <sz val="11"/>
      <color indexed="18"/>
      <name val="Arial"/>
      <family val="2"/>
    </font>
    <font>
      <vertAlign val="superscript"/>
      <sz val="12"/>
      <color indexed="48"/>
      <name val="Arial"/>
      <family val="2"/>
    </font>
    <font>
      <b/>
      <sz val="12"/>
      <color indexed="48"/>
      <name val="Arial"/>
      <family val="2"/>
    </font>
    <font>
      <sz val="8"/>
      <name val="Arial"/>
      <family val="2"/>
    </font>
    <font>
      <b/>
      <vertAlign val="superscript"/>
      <sz val="12"/>
      <color indexed="48"/>
      <name val="Arial"/>
      <family val="2"/>
    </font>
    <font>
      <b/>
      <sz val="12"/>
      <color indexed="48"/>
      <name val="Symbol"/>
      <family val="1"/>
      <charset val="2"/>
    </font>
    <font>
      <vertAlign val="superscript"/>
      <sz val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21" fillId="0" borderId="0"/>
    <xf numFmtId="9" fontId="1" fillId="0" borderId="0" applyFont="0" applyFill="0" applyBorder="0" applyAlignment="0" applyProtection="0"/>
  </cellStyleXfs>
  <cellXfs count="328">
    <xf numFmtId="0" fontId="0" fillId="0" borderId="0" xfId="0"/>
    <xf numFmtId="0" fontId="0" fillId="0" borderId="0" xfId="0" applyFill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center"/>
    </xf>
    <xf numFmtId="0" fontId="3" fillId="3" borderId="2" xfId="0" applyFont="1" applyFill="1" applyBorder="1" applyAlignment="1" applyProtection="1">
      <alignment horizontal="center"/>
    </xf>
    <xf numFmtId="165" fontId="6" fillId="0" borderId="2" xfId="0" applyNumberFormat="1" applyFont="1" applyFill="1" applyBorder="1" applyAlignment="1">
      <alignment horizontal="center"/>
    </xf>
    <xf numFmtId="0" fontId="9" fillId="0" borderId="1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165" fontId="5" fillId="3" borderId="3" xfId="0" applyNumberFormat="1" applyFont="1" applyFill="1" applyBorder="1" applyAlignment="1" applyProtection="1">
      <alignment horizontal="center" wrapText="1"/>
    </xf>
    <xf numFmtId="3" fontId="8" fillId="0" borderId="1" xfId="0" applyNumberFormat="1" applyFont="1" applyBorder="1" applyAlignment="1" applyProtection="1">
      <alignment horizontal="center"/>
    </xf>
    <xf numFmtId="3" fontId="9" fillId="0" borderId="1" xfId="0" applyNumberFormat="1" applyFont="1" applyFill="1" applyBorder="1" applyAlignment="1" applyProtection="1">
      <alignment horizontal="center"/>
    </xf>
    <xf numFmtId="165" fontId="5" fillId="0" borderId="2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 applyProtection="1">
      <alignment horizontal="center"/>
    </xf>
    <xf numFmtId="4" fontId="8" fillId="0" borderId="1" xfId="0" applyNumberFormat="1" applyFont="1" applyFill="1" applyBorder="1" applyAlignment="1" applyProtection="1">
      <alignment horizontal="center"/>
    </xf>
    <xf numFmtId="168" fontId="8" fillId="0" borderId="1" xfId="0" applyNumberFormat="1" applyFont="1" applyFill="1" applyBorder="1" applyAlignment="1" applyProtection="1">
      <alignment horizontal="center"/>
    </xf>
    <xf numFmtId="3" fontId="0" fillId="0" borderId="0" xfId="0" applyNumberFormat="1"/>
    <xf numFmtId="9" fontId="0" fillId="0" borderId="0" xfId="0" applyNumberFormat="1"/>
    <xf numFmtId="166" fontId="9" fillId="2" borderId="1" xfId="0" applyNumberFormat="1" applyFont="1" applyFill="1" applyBorder="1" applyAlignment="1" applyProtection="1">
      <alignment horizontal="center"/>
    </xf>
    <xf numFmtId="166" fontId="7" fillId="0" borderId="1" xfId="0" applyNumberFormat="1" applyFont="1" applyBorder="1" applyAlignment="1">
      <alignment horizontal="center"/>
    </xf>
    <xf numFmtId="166" fontId="8" fillId="2" borderId="1" xfId="0" applyNumberFormat="1" applyFont="1" applyFill="1" applyBorder="1" applyAlignment="1" applyProtection="1">
      <alignment horizontal="center"/>
    </xf>
    <xf numFmtId="166" fontId="9" fillId="0" borderId="1" xfId="0" applyNumberFormat="1" applyFont="1" applyFill="1" applyBorder="1" applyAlignment="1" applyProtection="1">
      <alignment horizontal="center"/>
    </xf>
    <xf numFmtId="0" fontId="7" fillId="0" borderId="1" xfId="0" applyFont="1" applyFill="1" applyBorder="1" applyAlignment="1">
      <alignment horizontal="center"/>
    </xf>
    <xf numFmtId="172" fontId="8" fillId="0" borderId="1" xfId="0" applyNumberFormat="1" applyFont="1" applyFill="1" applyBorder="1" applyAlignment="1" applyProtection="1">
      <alignment horizontal="center"/>
    </xf>
    <xf numFmtId="172" fontId="9" fillId="2" borderId="1" xfId="0" applyNumberFormat="1" applyFont="1" applyFill="1" applyBorder="1" applyAlignment="1" applyProtection="1">
      <alignment horizontal="center"/>
    </xf>
    <xf numFmtId="172" fontId="7" fillId="0" borderId="1" xfId="0" applyNumberFormat="1" applyFont="1" applyBorder="1" applyAlignment="1">
      <alignment horizontal="center"/>
    </xf>
    <xf numFmtId="172" fontId="8" fillId="2" borderId="1" xfId="0" applyNumberFormat="1" applyFont="1" applyFill="1" applyBorder="1" applyAlignment="1" applyProtection="1">
      <alignment horizontal="center"/>
    </xf>
    <xf numFmtId="165" fontId="6" fillId="0" borderId="4" xfId="0" applyNumberFormat="1" applyFont="1" applyFill="1" applyBorder="1" applyAlignment="1">
      <alignment horizontal="center"/>
    </xf>
    <xf numFmtId="0" fontId="9" fillId="2" borderId="5" xfId="0" applyFont="1" applyFill="1" applyBorder="1" applyAlignment="1" applyProtection="1">
      <alignment horizontal="center"/>
    </xf>
    <xf numFmtId="0" fontId="10" fillId="4" borderId="6" xfId="0" applyFont="1" applyFill="1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left" indent="2"/>
    </xf>
    <xf numFmtId="4" fontId="8" fillId="0" borderId="5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0" fontId="4" fillId="0" borderId="6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 indent="2"/>
    </xf>
    <xf numFmtId="0" fontId="8" fillId="2" borderId="5" xfId="0" applyFont="1" applyFill="1" applyBorder="1" applyAlignment="1" applyProtection="1">
      <alignment horizontal="center"/>
    </xf>
    <xf numFmtId="165" fontId="5" fillId="3" borderId="7" xfId="0" applyNumberFormat="1" applyFont="1" applyFill="1" applyBorder="1" applyAlignment="1" applyProtection="1">
      <alignment horizontal="center" wrapText="1"/>
    </xf>
    <xf numFmtId="165" fontId="5" fillId="3" borderId="8" xfId="0" applyNumberFormat="1" applyFont="1" applyFill="1" applyBorder="1" applyAlignment="1" applyProtection="1">
      <alignment horizontal="center" wrapText="1"/>
    </xf>
    <xf numFmtId="165" fontId="5" fillId="0" borderId="9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2" borderId="6" xfId="0" applyFont="1" applyFill="1" applyBorder="1" applyAlignment="1" applyProtection="1">
      <alignment horizontal="center"/>
    </xf>
    <xf numFmtId="3" fontId="8" fillId="0" borderId="6" xfId="0" applyNumberFormat="1" applyFont="1" applyFill="1" applyBorder="1" applyAlignment="1" applyProtection="1">
      <alignment horizontal="center"/>
    </xf>
    <xf numFmtId="3" fontId="8" fillId="0" borderId="5" xfId="0" applyNumberFormat="1" applyFont="1" applyFill="1" applyBorder="1" applyAlignment="1" applyProtection="1">
      <alignment horizontal="center"/>
    </xf>
    <xf numFmtId="0" fontId="9" fillId="0" borderId="6" xfId="0" applyFont="1" applyFill="1" applyBorder="1" applyAlignment="1" applyProtection="1">
      <alignment horizontal="center"/>
    </xf>
    <xf numFmtId="3" fontId="9" fillId="2" borderId="5" xfId="0" applyNumberFormat="1" applyFont="1" applyFill="1" applyBorder="1" applyAlignment="1" applyProtection="1">
      <alignment horizontal="center"/>
    </xf>
    <xf numFmtId="3" fontId="7" fillId="0" borderId="5" xfId="0" applyNumberFormat="1" applyFont="1" applyBorder="1" applyAlignment="1">
      <alignment horizontal="center"/>
    </xf>
    <xf numFmtId="0" fontId="8" fillId="2" borderId="6" xfId="0" applyFont="1" applyFill="1" applyBorder="1" applyAlignment="1" applyProtection="1">
      <alignment horizontal="center"/>
    </xf>
    <xf numFmtId="3" fontId="8" fillId="2" borderId="5" xfId="0" applyNumberFormat="1" applyFont="1" applyFill="1" applyBorder="1" applyAlignment="1" applyProtection="1">
      <alignment horizontal="center"/>
    </xf>
    <xf numFmtId="165" fontId="12" fillId="3" borderId="7" xfId="0" applyNumberFormat="1" applyFont="1" applyFill="1" applyBorder="1" applyAlignment="1" applyProtection="1">
      <alignment horizontal="center" wrapText="1"/>
    </xf>
    <xf numFmtId="165" fontId="12" fillId="3" borderId="3" xfId="0" applyNumberFormat="1" applyFont="1" applyFill="1" applyBorder="1" applyAlignment="1" applyProtection="1">
      <alignment horizontal="center" wrapText="1"/>
    </xf>
    <xf numFmtId="165" fontId="12" fillId="0" borderId="9" xfId="0" applyNumberFormat="1" applyFont="1" applyFill="1" applyBorder="1" applyAlignment="1">
      <alignment horizontal="center"/>
    </xf>
    <xf numFmtId="165" fontId="12" fillId="0" borderId="2" xfId="0" applyNumberFormat="1" applyFont="1" applyFill="1" applyBorder="1" applyAlignment="1">
      <alignment horizontal="center"/>
    </xf>
    <xf numFmtId="0" fontId="2" fillId="0" borderId="10" xfId="0" applyFont="1" applyBorder="1"/>
    <xf numFmtId="9" fontId="2" fillId="0" borderId="11" xfId="0" applyNumberFormat="1" applyFont="1" applyBorder="1"/>
    <xf numFmtId="0" fontId="2" fillId="0" borderId="12" xfId="0" applyFont="1" applyBorder="1"/>
    <xf numFmtId="9" fontId="2" fillId="0" borderId="13" xfId="0" applyNumberFormat="1" applyFont="1" applyBorder="1"/>
    <xf numFmtId="3" fontId="2" fillId="0" borderId="13" xfId="0" applyNumberFormat="1" applyFont="1" applyBorder="1"/>
    <xf numFmtId="0" fontId="2" fillId="0" borderId="14" xfId="0" applyFont="1" applyBorder="1"/>
    <xf numFmtId="3" fontId="2" fillId="0" borderId="15" xfId="2" applyNumberFormat="1" applyFont="1" applyBorder="1"/>
    <xf numFmtId="170" fontId="0" fillId="0" borderId="0" xfId="0" applyNumberFormat="1" applyFill="1"/>
    <xf numFmtId="4" fontId="0" fillId="0" borderId="0" xfId="0" applyNumberFormat="1" applyFill="1"/>
    <xf numFmtId="3" fontId="0" fillId="0" borderId="0" xfId="0" applyNumberFormat="1" applyAlignment="1">
      <alignment horizontal="center" vertical="center"/>
    </xf>
    <xf numFmtId="17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indent="2"/>
    </xf>
    <xf numFmtId="17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173" fontId="0" fillId="0" borderId="16" xfId="0" applyNumberFormat="1" applyBorder="1" applyAlignment="1">
      <alignment horizontal="center" vertical="center"/>
    </xf>
    <xf numFmtId="9" fontId="2" fillId="0" borderId="13" xfId="2" applyNumberFormat="1" applyFont="1" applyBorder="1"/>
    <xf numFmtId="0" fontId="0" fillId="0" borderId="0" xfId="0" applyAlignment="1">
      <alignment horizontal="center"/>
    </xf>
    <xf numFmtId="165" fontId="6" fillId="0" borderId="17" xfId="0" applyNumberFormat="1" applyFont="1" applyFill="1" applyBorder="1" applyAlignment="1">
      <alignment horizontal="center"/>
    </xf>
    <xf numFmtId="0" fontId="9" fillId="2" borderId="18" xfId="0" applyFont="1" applyFill="1" applyBorder="1" applyAlignment="1" applyProtection="1">
      <alignment horizontal="center"/>
    </xf>
    <xf numFmtId="4" fontId="8" fillId="0" borderId="18" xfId="0" applyNumberFormat="1" applyFont="1" applyFill="1" applyBorder="1" applyAlignment="1" applyProtection="1">
      <alignment horizontal="center"/>
    </xf>
    <xf numFmtId="0" fontId="8" fillId="2" borderId="18" xfId="0" applyFont="1" applyFill="1" applyBorder="1" applyAlignment="1" applyProtection="1">
      <alignment horizontal="center"/>
    </xf>
    <xf numFmtId="9" fontId="8" fillId="0" borderId="18" xfId="2" applyFont="1" applyFill="1" applyBorder="1" applyAlignment="1" applyProtection="1">
      <alignment horizontal="center"/>
    </xf>
    <xf numFmtId="11" fontId="0" fillId="0" borderId="0" xfId="0" applyNumberFormat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75" fontId="0" fillId="0" borderId="0" xfId="0" applyNumberFormat="1"/>
    <xf numFmtId="170" fontId="0" fillId="0" borderId="0" xfId="0" applyNumberFormat="1"/>
    <xf numFmtId="0" fontId="0" fillId="0" borderId="19" xfId="0" applyBorder="1"/>
    <xf numFmtId="3" fontId="0" fillId="0" borderId="20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0" fontId="0" fillId="0" borderId="22" xfId="0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4" borderId="25" xfId="0" applyFill="1" applyBorder="1"/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8" xfId="0" applyFill="1" applyBorder="1"/>
    <xf numFmtId="171" fontId="0" fillId="4" borderId="29" xfId="0" applyNumberFormat="1" applyFill="1" applyBorder="1" applyAlignment="1">
      <alignment horizontal="center" vertical="center"/>
    </xf>
    <xf numFmtId="171" fontId="0" fillId="4" borderId="30" xfId="0" applyNumberFormat="1" applyFill="1" applyBorder="1" applyAlignment="1">
      <alignment horizontal="center" vertical="center"/>
    </xf>
    <xf numFmtId="9" fontId="8" fillId="4" borderId="18" xfId="2" applyFont="1" applyFill="1" applyBorder="1" applyAlignment="1" applyProtection="1">
      <alignment horizontal="center"/>
    </xf>
    <xf numFmtId="4" fontId="8" fillId="4" borderId="5" xfId="0" applyNumberFormat="1" applyFont="1" applyFill="1" applyBorder="1" applyAlignment="1" applyProtection="1">
      <alignment horizontal="center"/>
    </xf>
    <xf numFmtId="0" fontId="0" fillId="0" borderId="31" xfId="0" applyBorder="1" applyAlignment="1">
      <alignment horizontal="center" vertical="center" wrapText="1"/>
    </xf>
    <xf numFmtId="3" fontId="0" fillId="0" borderId="31" xfId="0" applyNumberFormat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0" fontId="0" fillId="5" borderId="25" xfId="0" applyFill="1" applyBorder="1"/>
    <xf numFmtId="0" fontId="0" fillId="0" borderId="32" xfId="0" applyBorder="1" applyAlignment="1">
      <alignment horizontal="center" vertical="center" wrapText="1"/>
    </xf>
    <xf numFmtId="173" fontId="0" fillId="0" borderId="32" xfId="0" applyNumberFormat="1" applyBorder="1" applyAlignment="1">
      <alignment horizontal="center" vertical="center"/>
    </xf>
    <xf numFmtId="0" fontId="0" fillId="0" borderId="31" xfId="0" applyBorder="1" applyAlignment="1">
      <alignment horizontal="left" indent="2"/>
    </xf>
    <xf numFmtId="0" fontId="9" fillId="2" borderId="33" xfId="0" applyFont="1" applyFill="1" applyBorder="1" applyAlignment="1" applyProtection="1">
      <alignment horizontal="center"/>
    </xf>
    <xf numFmtId="0" fontId="7" fillId="0" borderId="33" xfId="0" applyFont="1" applyBorder="1" applyAlignment="1">
      <alignment horizontal="center"/>
    </xf>
    <xf numFmtId="3" fontId="9" fillId="0" borderId="33" xfId="0" applyNumberFormat="1" applyFont="1" applyFill="1" applyBorder="1" applyAlignment="1" applyProtection="1">
      <alignment horizontal="center"/>
    </xf>
    <xf numFmtId="3" fontId="8" fillId="0" borderId="33" xfId="0" applyNumberFormat="1" applyFont="1" applyFill="1" applyBorder="1" applyAlignment="1" applyProtection="1">
      <alignment horizontal="center"/>
    </xf>
    <xf numFmtId="167" fontId="8" fillId="0" borderId="33" xfId="0" applyNumberFormat="1" applyFont="1" applyFill="1" applyBorder="1" applyAlignment="1" applyProtection="1">
      <alignment horizontal="center"/>
    </xf>
    <xf numFmtId="167" fontId="9" fillId="0" borderId="33" xfId="0" applyNumberFormat="1" applyFont="1" applyFill="1" applyBorder="1" applyAlignment="1" applyProtection="1">
      <alignment horizontal="center"/>
    </xf>
    <xf numFmtId="0" fontId="0" fillId="0" borderId="33" xfId="0" applyBorder="1" applyAlignment="1">
      <alignment horizontal="center" vertical="center" wrapText="1"/>
    </xf>
    <xf numFmtId="3" fontId="0" fillId="0" borderId="33" xfId="0" applyNumberFormat="1" applyBorder="1" applyAlignment="1">
      <alignment horizontal="center" vertical="center"/>
    </xf>
    <xf numFmtId="167" fontId="0" fillId="0" borderId="0" xfId="0" applyNumberFormat="1"/>
    <xf numFmtId="0" fontId="0" fillId="0" borderId="15" xfId="0" applyFill="1" applyBorder="1" applyAlignment="1">
      <alignment horizontal="center" vertical="center"/>
    </xf>
    <xf numFmtId="3" fontId="8" fillId="6" borderId="1" xfId="0" applyNumberFormat="1" applyFont="1" applyFill="1" applyBorder="1" applyAlignment="1" applyProtection="1">
      <alignment horizontal="center"/>
    </xf>
    <xf numFmtId="165" fontId="5" fillId="7" borderId="3" xfId="0" applyNumberFormat="1" applyFont="1" applyFill="1" applyBorder="1" applyAlignment="1" applyProtection="1">
      <alignment horizontal="center" wrapText="1"/>
    </xf>
    <xf numFmtId="165" fontId="12" fillId="7" borderId="3" xfId="0" applyNumberFormat="1" applyFont="1" applyFill="1" applyBorder="1" applyAlignment="1" applyProtection="1">
      <alignment horizont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0" fillId="0" borderId="25" xfId="0" applyFill="1" applyBorder="1"/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6" xfId="0" quotePrefix="1" applyFill="1" applyBorder="1" applyAlignment="1">
      <alignment horizontal="center" vertical="center"/>
    </xf>
    <xf numFmtId="0" fontId="0" fillId="0" borderId="27" xfId="0" quotePrefix="1" applyFill="1" applyBorder="1" applyAlignment="1">
      <alignment horizontal="center" vertical="center"/>
    </xf>
    <xf numFmtId="2" fontId="0" fillId="0" borderId="26" xfId="0" applyNumberFormat="1" applyFill="1" applyBorder="1" applyAlignment="1">
      <alignment horizontal="center" vertical="center"/>
    </xf>
    <xf numFmtId="2" fontId="0" fillId="0" borderId="27" xfId="0" applyNumberFormat="1" applyFill="1" applyBorder="1" applyAlignment="1">
      <alignment horizontal="center" vertical="center"/>
    </xf>
    <xf numFmtId="0" fontId="0" fillId="0" borderId="14" xfId="0" applyFill="1" applyBorder="1"/>
    <xf numFmtId="0" fontId="0" fillId="0" borderId="35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36" xfId="0" applyFill="1" applyBorder="1"/>
    <xf numFmtId="0" fontId="0" fillId="0" borderId="37" xfId="0" applyFill="1" applyBorder="1" applyAlignment="1">
      <alignment horizontal="center" vertical="center"/>
    </xf>
    <xf numFmtId="171" fontId="0" fillId="0" borderId="38" xfId="0" applyNumberFormat="1" applyFill="1" applyBorder="1" applyAlignment="1">
      <alignment horizontal="center" vertical="center"/>
    </xf>
    <xf numFmtId="172" fontId="0" fillId="0" borderId="38" xfId="0" applyNumberFormat="1" applyFill="1" applyBorder="1" applyAlignment="1">
      <alignment horizontal="center" vertical="center"/>
    </xf>
    <xf numFmtId="171" fontId="0" fillId="0" borderId="27" xfId="0" applyNumberFormat="1" applyFill="1" applyBorder="1" applyAlignment="1">
      <alignment horizontal="center" vertical="center"/>
    </xf>
    <xf numFmtId="172" fontId="0" fillId="0" borderId="27" xfId="0" applyNumberFormat="1" applyFill="1" applyBorder="1" applyAlignment="1">
      <alignment horizontal="center" vertical="center"/>
    </xf>
    <xf numFmtId="172" fontId="2" fillId="0" borderId="27" xfId="0" applyNumberFormat="1" applyFont="1" applyFill="1" applyBorder="1" applyAlignment="1">
      <alignment horizontal="center" vertical="center"/>
    </xf>
    <xf numFmtId="0" fontId="0" fillId="0" borderId="28" xfId="0" applyFill="1" applyBorder="1"/>
    <xf numFmtId="0" fontId="0" fillId="0" borderId="30" xfId="0" applyFill="1" applyBorder="1" applyAlignment="1">
      <alignment horizontal="center" vertical="center"/>
    </xf>
    <xf numFmtId="3" fontId="0" fillId="0" borderId="29" xfId="0" applyNumberFormat="1" applyFill="1" applyBorder="1" applyAlignment="1">
      <alignment horizontal="center" vertical="center"/>
    </xf>
    <xf numFmtId="3" fontId="0" fillId="0" borderId="30" xfId="0" applyNumberFormat="1" applyFill="1" applyBorder="1" applyAlignment="1">
      <alignment horizontal="center" vertical="center"/>
    </xf>
    <xf numFmtId="1" fontId="0" fillId="0" borderId="26" xfId="0" applyNumberFormat="1" applyFill="1" applyBorder="1" applyAlignment="1">
      <alignment horizontal="center" vertical="center"/>
    </xf>
    <xf numFmtId="1" fontId="0" fillId="0" borderId="26" xfId="0" quotePrefix="1" applyNumberFormat="1" applyFill="1" applyBorder="1" applyAlignment="1">
      <alignment horizontal="center" vertical="center"/>
    </xf>
    <xf numFmtId="1" fontId="2" fillId="0" borderId="26" xfId="0" applyNumberFormat="1" applyFont="1" applyFill="1" applyBorder="1" applyAlignment="1">
      <alignment horizontal="center" vertical="center"/>
    </xf>
    <xf numFmtId="1" fontId="2" fillId="0" borderId="26" xfId="0" quotePrefix="1" applyNumberFormat="1" applyFont="1" applyFill="1" applyBorder="1" applyAlignment="1">
      <alignment horizontal="center" vertical="center"/>
    </xf>
    <xf numFmtId="0" fontId="20" fillId="0" borderId="25" xfId="0" applyFont="1" applyFill="1" applyBorder="1"/>
    <xf numFmtId="9" fontId="0" fillId="0" borderId="26" xfId="2" quotePrefix="1" applyFont="1" applyFill="1" applyBorder="1" applyAlignment="1">
      <alignment horizontal="center" vertical="center"/>
    </xf>
    <xf numFmtId="9" fontId="0" fillId="0" borderId="26" xfId="2" applyFont="1" applyFill="1" applyBorder="1" applyAlignment="1">
      <alignment horizontal="center" vertical="center"/>
    </xf>
    <xf numFmtId="1" fontId="0" fillId="0" borderId="39" xfId="0" quotePrefix="1" applyNumberFormat="1" applyFill="1" applyBorder="1" applyAlignment="1">
      <alignment horizontal="center" vertical="center"/>
    </xf>
    <xf numFmtId="1" fontId="0" fillId="0" borderId="39" xfId="0" applyNumberFormat="1" applyFill="1" applyBorder="1" applyAlignment="1">
      <alignment horizontal="center" vertical="center"/>
    </xf>
    <xf numFmtId="1" fontId="0" fillId="0" borderId="13" xfId="0" applyNumberFormat="1" applyFill="1" applyBorder="1" applyAlignment="1">
      <alignment horizontal="center" vertical="center"/>
    </xf>
    <xf numFmtId="1" fontId="0" fillId="0" borderId="35" xfId="0" quotePrefix="1" applyNumberFormat="1" applyFill="1" applyBorder="1" applyAlignment="1">
      <alignment horizontal="center" vertical="center"/>
    </xf>
    <xf numFmtId="1" fontId="0" fillId="0" borderId="15" xfId="0" applyNumberFormat="1" applyFill="1" applyBorder="1" applyAlignment="1">
      <alignment horizontal="center" vertical="center"/>
    </xf>
    <xf numFmtId="3" fontId="0" fillId="0" borderId="20" xfId="0" applyNumberFormat="1" applyFill="1" applyBorder="1" applyAlignment="1">
      <alignment horizontal="center" vertical="center"/>
    </xf>
    <xf numFmtId="3" fontId="0" fillId="0" borderId="21" xfId="0" applyNumberFormat="1" applyFill="1" applyBorder="1" applyAlignment="1">
      <alignment horizontal="center" vertical="center"/>
    </xf>
    <xf numFmtId="165" fontId="12" fillId="9" borderId="3" xfId="0" applyNumberFormat="1" applyFont="1" applyFill="1" applyBorder="1" applyAlignment="1" applyProtection="1">
      <alignment horizontal="center" wrapText="1"/>
    </xf>
    <xf numFmtId="169" fontId="0" fillId="0" borderId="0" xfId="0" applyNumberFormat="1"/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 wrapText="1"/>
    </xf>
    <xf numFmtId="169" fontId="0" fillId="10" borderId="0" xfId="0" applyNumberFormat="1" applyFill="1"/>
    <xf numFmtId="0" fontId="2" fillId="0" borderId="0" xfId="0" applyFont="1"/>
    <xf numFmtId="16" fontId="2" fillId="0" borderId="34" xfId="0" applyNumberFormat="1" applyFont="1" applyFill="1" applyBorder="1" applyAlignment="1">
      <alignment horizontal="center" vertical="center" wrapText="1"/>
    </xf>
    <xf numFmtId="0" fontId="8" fillId="11" borderId="6" xfId="0" applyFont="1" applyFill="1" applyBorder="1" applyAlignment="1" applyProtection="1">
      <alignment horizontal="left" indent="2"/>
    </xf>
    <xf numFmtId="174" fontId="2" fillId="11" borderId="27" xfId="0" applyNumberFormat="1" applyFont="1" applyFill="1" applyBorder="1" applyAlignment="1">
      <alignment horizontal="center" vertical="center"/>
    </xf>
    <xf numFmtId="174" fontId="2" fillId="11" borderId="27" xfId="0" quotePrefix="1" applyNumberFormat="1" applyFont="1" applyFill="1" applyBorder="1" applyAlignment="1">
      <alignment horizontal="center" vertical="center"/>
    </xf>
    <xf numFmtId="1" fontId="2" fillId="11" borderId="26" xfId="0" applyNumberFormat="1" applyFont="1" applyFill="1" applyBorder="1" applyAlignment="1">
      <alignment horizontal="center" vertical="center"/>
    </xf>
    <xf numFmtId="1" fontId="2" fillId="11" borderId="26" xfId="0" quotePrefix="1" applyNumberFormat="1" applyFont="1" applyFill="1" applyBorder="1" applyAlignment="1">
      <alignment horizontal="center" vertical="center"/>
    </xf>
    <xf numFmtId="1" fontId="2" fillId="11" borderId="15" xfId="0" applyNumberFormat="1" applyFont="1" applyFill="1" applyBorder="1" applyAlignment="1">
      <alignment horizontal="center" vertical="center"/>
    </xf>
    <xf numFmtId="1" fontId="2" fillId="11" borderId="15" xfId="0" quotePrefix="1" applyNumberFormat="1" applyFont="1" applyFill="1" applyBorder="1" applyAlignment="1">
      <alignment horizontal="center" vertical="center"/>
    </xf>
    <xf numFmtId="1" fontId="2" fillId="11" borderId="29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 applyProtection="1">
      <alignment horizontal="center"/>
    </xf>
    <xf numFmtId="0" fontId="8" fillId="12" borderId="33" xfId="0" applyFont="1" applyFill="1" applyBorder="1" applyAlignment="1" applyProtection="1">
      <alignment horizontal="center"/>
    </xf>
    <xf numFmtId="165" fontId="5" fillId="9" borderId="3" xfId="0" applyNumberFormat="1" applyFont="1" applyFill="1" applyBorder="1" applyAlignment="1" applyProtection="1">
      <alignment horizontal="center" wrapText="1"/>
    </xf>
    <xf numFmtId="169" fontId="8" fillId="0" borderId="1" xfId="0" applyNumberFormat="1" applyFont="1" applyFill="1" applyBorder="1" applyAlignment="1" applyProtection="1">
      <alignment horizontal="center"/>
    </xf>
    <xf numFmtId="169" fontId="9" fillId="2" borderId="1" xfId="0" applyNumberFormat="1" applyFont="1" applyFill="1" applyBorder="1" applyAlignment="1" applyProtection="1">
      <alignment horizontal="center"/>
    </xf>
    <xf numFmtId="169" fontId="7" fillId="0" borderId="1" xfId="0" applyNumberFormat="1" applyFont="1" applyBorder="1" applyAlignment="1">
      <alignment horizontal="center"/>
    </xf>
    <xf numFmtId="0" fontId="0" fillId="13" borderId="69" xfId="0" applyFill="1" applyBorder="1" applyAlignment="1">
      <alignment wrapText="1"/>
    </xf>
    <xf numFmtId="0" fontId="22" fillId="13" borderId="69" xfId="0" applyFont="1" applyFill="1" applyBorder="1" applyAlignment="1">
      <alignment horizontal="center" wrapText="1"/>
    </xf>
    <xf numFmtId="0" fontId="0" fillId="13" borderId="0" xfId="0" applyFill="1"/>
    <xf numFmtId="0" fontId="23" fillId="13" borderId="69" xfId="0" applyFont="1" applyFill="1" applyBorder="1" applyAlignment="1">
      <alignment horizontal="center" wrapText="1"/>
    </xf>
    <xf numFmtId="0" fontId="24" fillId="13" borderId="69" xfId="0" applyFont="1" applyFill="1" applyBorder="1" applyAlignment="1">
      <alignment horizontal="center" wrapText="1"/>
    </xf>
    <xf numFmtId="0" fontId="23" fillId="0" borderId="69" xfId="0" applyFont="1" applyFill="1" applyBorder="1" applyAlignment="1">
      <alignment horizontal="center" wrapText="1"/>
    </xf>
    <xf numFmtId="0" fontId="23" fillId="12" borderId="69" xfId="0" applyFont="1" applyFill="1" applyBorder="1" applyAlignment="1">
      <alignment horizontal="center" wrapText="1"/>
    </xf>
    <xf numFmtId="9" fontId="23" fillId="0" borderId="69" xfId="2" applyFont="1" applyFill="1" applyBorder="1" applyAlignment="1">
      <alignment horizontal="center" wrapText="1"/>
    </xf>
    <xf numFmtId="0" fontId="23" fillId="13" borderId="70" xfId="0" applyFont="1" applyFill="1" applyBorder="1" applyAlignment="1">
      <alignment horizontal="center" wrapText="1"/>
    </xf>
    <xf numFmtId="0" fontId="0" fillId="13" borderId="0" xfId="0" applyFill="1" applyBorder="1" applyAlignment="1">
      <alignment wrapText="1"/>
    </xf>
    <xf numFmtId="0" fontId="23" fillId="13" borderId="0" xfId="0" applyFont="1" applyFill="1" applyBorder="1" applyAlignment="1">
      <alignment horizontal="center" wrapText="1"/>
    </xf>
    <xf numFmtId="0" fontId="24" fillId="13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9" fontId="23" fillId="0" borderId="0" xfId="2" applyFont="1" applyFill="1" applyBorder="1" applyAlignment="1">
      <alignment horizontal="center" wrapText="1"/>
    </xf>
    <xf numFmtId="0" fontId="0" fillId="13" borderId="71" xfId="0" applyFill="1" applyBorder="1" applyAlignment="1">
      <alignment wrapText="1"/>
    </xf>
    <xf numFmtId="0" fontId="23" fillId="13" borderId="71" xfId="0" applyFont="1" applyFill="1" applyBorder="1" applyAlignment="1">
      <alignment horizontal="center" wrapText="1"/>
    </xf>
    <xf numFmtId="0" fontId="0" fillId="13" borderId="72" xfId="0" applyFill="1" applyBorder="1" applyAlignment="1">
      <alignment wrapText="1"/>
    </xf>
    <xf numFmtId="0" fontId="23" fillId="13" borderId="72" xfId="0" applyFont="1" applyFill="1" applyBorder="1" applyAlignment="1">
      <alignment horizontal="center" wrapText="1"/>
    </xf>
    <xf numFmtId="0" fontId="24" fillId="13" borderId="72" xfId="0" applyFont="1" applyFill="1" applyBorder="1" applyAlignment="1">
      <alignment horizontal="center" wrapText="1"/>
    </xf>
    <xf numFmtId="0" fontId="23" fillId="0" borderId="72" xfId="0" applyFont="1" applyFill="1" applyBorder="1" applyAlignment="1">
      <alignment horizontal="center" wrapText="1"/>
    </xf>
    <xf numFmtId="0" fontId="23" fillId="12" borderId="72" xfId="0" applyFont="1" applyFill="1" applyBorder="1" applyAlignment="1">
      <alignment horizontal="center" wrapText="1"/>
    </xf>
    <xf numFmtId="9" fontId="23" fillId="0" borderId="72" xfId="2" applyFont="1" applyFill="1" applyBorder="1" applyAlignment="1">
      <alignment horizontal="center" wrapText="1"/>
    </xf>
    <xf numFmtId="0" fontId="0" fillId="13" borderId="17" xfId="0" applyFill="1" applyBorder="1" applyAlignment="1">
      <alignment wrapText="1"/>
    </xf>
    <xf numFmtId="0" fontId="0" fillId="13" borderId="17" xfId="0" applyFill="1" applyBorder="1" applyAlignment="1">
      <alignment horizontal="left" wrapText="1"/>
    </xf>
    <xf numFmtId="0" fontId="0" fillId="0" borderId="17" xfId="0" applyFill="1" applyBorder="1" applyAlignment="1">
      <alignment wrapText="1"/>
    </xf>
    <xf numFmtId="0" fontId="22" fillId="13" borderId="71" xfId="0" applyFont="1" applyFill="1" applyBorder="1" applyAlignment="1">
      <alignment horizontal="center" wrapText="1"/>
    </xf>
    <xf numFmtId="0" fontId="22" fillId="0" borderId="71" xfId="0" applyFont="1" applyFill="1" applyBorder="1" applyAlignment="1">
      <alignment horizontal="center" wrapText="1"/>
    </xf>
    <xf numFmtId="0" fontId="23" fillId="13" borderId="73" xfId="0" applyFont="1" applyFill="1" applyBorder="1" applyAlignment="1">
      <alignment horizontal="center" wrapText="1"/>
    </xf>
    <xf numFmtId="0" fontId="23" fillId="13" borderId="74" xfId="0" applyFont="1" applyFill="1" applyBorder="1" applyAlignment="1">
      <alignment horizontal="center" wrapText="1"/>
    </xf>
    <xf numFmtId="0" fontId="23" fillId="13" borderId="75" xfId="0" applyFont="1" applyFill="1" applyBorder="1" applyAlignment="1">
      <alignment horizontal="center" wrapText="1"/>
    </xf>
    <xf numFmtId="0" fontId="23" fillId="0" borderId="75" xfId="0" applyFont="1" applyFill="1" applyBorder="1" applyAlignment="1">
      <alignment horizontal="center" wrapText="1"/>
    </xf>
    <xf numFmtId="9" fontId="23" fillId="0" borderId="76" xfId="2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20" fillId="0" borderId="26" xfId="0" applyFont="1" applyFill="1" applyBorder="1" applyAlignment="1">
      <alignment horizontal="center" vertical="center"/>
    </xf>
    <xf numFmtId="0" fontId="0" fillId="13" borderId="1" xfId="0" applyFill="1" applyBorder="1" applyAlignment="1">
      <alignment wrapText="1"/>
    </xf>
    <xf numFmtId="0" fontId="23" fillId="13" borderId="1" xfId="0" applyFont="1" applyFill="1" applyBorder="1" applyAlignment="1">
      <alignment horizontal="center" wrapText="1"/>
    </xf>
    <xf numFmtId="0" fontId="23" fillId="13" borderId="77" xfId="0" applyFont="1" applyFill="1" applyBorder="1" applyAlignment="1">
      <alignment horizontal="center" wrapText="1"/>
    </xf>
    <xf numFmtId="1" fontId="23" fillId="0" borderId="72" xfId="0" applyNumberFormat="1" applyFont="1" applyFill="1" applyBorder="1" applyAlignment="1">
      <alignment horizontal="center" wrapText="1"/>
    </xf>
    <xf numFmtId="0" fontId="23" fillId="0" borderId="78" xfId="0" applyFont="1" applyFill="1" applyBorder="1" applyAlignment="1">
      <alignment horizontal="center" wrapText="1"/>
    </xf>
    <xf numFmtId="9" fontId="23" fillId="0" borderId="78" xfId="2" applyFont="1" applyFill="1" applyBorder="1" applyAlignment="1">
      <alignment horizontal="center" wrapText="1"/>
    </xf>
    <xf numFmtId="0" fontId="23" fillId="13" borderId="78" xfId="0" applyFont="1" applyFill="1" applyBorder="1" applyAlignment="1">
      <alignment horizontal="center" wrapText="1"/>
    </xf>
    <xf numFmtId="0" fontId="24" fillId="13" borderId="78" xfId="0" applyFont="1" applyFill="1" applyBorder="1" applyAlignment="1">
      <alignment horizontal="center" wrapText="1"/>
    </xf>
    <xf numFmtId="0" fontId="24" fillId="13" borderId="75" xfId="0" applyFont="1" applyFill="1" applyBorder="1" applyAlignment="1">
      <alignment horizontal="center" wrapText="1"/>
    </xf>
    <xf numFmtId="0" fontId="0" fillId="13" borderId="78" xfId="0" applyFill="1" applyBorder="1" applyAlignment="1">
      <alignment wrapText="1"/>
    </xf>
    <xf numFmtId="0" fontId="23" fillId="12" borderId="78" xfId="0" applyFont="1" applyFill="1" applyBorder="1" applyAlignment="1">
      <alignment horizontal="center" wrapText="1"/>
    </xf>
    <xf numFmtId="0" fontId="0" fillId="13" borderId="74" xfId="0" applyFill="1" applyBorder="1" applyAlignment="1">
      <alignment wrapText="1"/>
    </xf>
    <xf numFmtId="0" fontId="23" fillId="12" borderId="75" xfId="0" applyFont="1" applyFill="1" applyBorder="1" applyAlignment="1">
      <alignment horizontal="center" wrapText="1"/>
    </xf>
    <xf numFmtId="164" fontId="22" fillId="0" borderId="0" xfId="0" applyNumberFormat="1" applyFont="1" applyFill="1" applyBorder="1" applyAlignment="1">
      <alignment horizontal="center" wrapText="1"/>
    </xf>
    <xf numFmtId="0" fontId="2" fillId="0" borderId="17" xfId="0" applyFont="1" applyFill="1" applyBorder="1" applyAlignment="1">
      <alignment wrapText="1"/>
    </xf>
    <xf numFmtId="169" fontId="0" fillId="12" borderId="0" xfId="0" applyNumberFormat="1" applyFill="1"/>
    <xf numFmtId="0" fontId="0" fillId="12" borderId="16" xfId="0" applyFill="1" applyBorder="1" applyAlignment="1">
      <alignment horizontal="center"/>
    </xf>
    <xf numFmtId="0" fontId="0" fillId="12" borderId="1" xfId="0" applyFill="1" applyBorder="1" applyAlignment="1">
      <alignment horizontal="left" indent="2"/>
    </xf>
    <xf numFmtId="0" fontId="0" fillId="12" borderId="31" xfId="0" applyFill="1" applyBorder="1" applyAlignment="1">
      <alignment horizontal="left" indent="2"/>
    </xf>
    <xf numFmtId="173" fontId="0" fillId="12" borderId="16" xfId="0" applyNumberFormat="1" applyFill="1" applyBorder="1" applyAlignment="1">
      <alignment horizontal="center" vertical="center"/>
    </xf>
    <xf numFmtId="3" fontId="0" fillId="12" borderId="1" xfId="0" applyNumberFormat="1" applyFill="1" applyBorder="1" applyAlignment="1">
      <alignment horizontal="center" vertical="center"/>
    </xf>
    <xf numFmtId="173" fontId="0" fillId="12" borderId="1" xfId="0" applyNumberFormat="1" applyFill="1" applyBorder="1" applyAlignment="1">
      <alignment horizontal="center" vertical="center"/>
    </xf>
    <xf numFmtId="3" fontId="0" fillId="12" borderId="31" xfId="0" applyNumberFormat="1" applyFill="1" applyBorder="1" applyAlignment="1">
      <alignment horizontal="center" vertical="center"/>
    </xf>
    <xf numFmtId="173" fontId="0" fillId="12" borderId="32" xfId="0" applyNumberFormat="1" applyFill="1" applyBorder="1" applyAlignment="1">
      <alignment horizontal="center" vertical="center"/>
    </xf>
    <xf numFmtId="3" fontId="0" fillId="12" borderId="33" xfId="0" applyNumberFormat="1" applyFill="1" applyBorder="1" applyAlignment="1">
      <alignment horizontal="center" vertical="center"/>
    </xf>
    <xf numFmtId="0" fontId="0" fillId="12" borderId="0" xfId="0" applyFill="1"/>
    <xf numFmtId="0" fontId="0" fillId="12" borderId="40" xfId="0" applyFill="1" applyBorder="1" applyAlignment="1">
      <alignment horizontal="center"/>
    </xf>
    <xf numFmtId="0" fontId="0" fillId="12" borderId="41" xfId="0" applyFill="1" applyBorder="1" applyAlignment="1">
      <alignment horizontal="left" indent="2"/>
    </xf>
    <xf numFmtId="0" fontId="0" fillId="12" borderId="42" xfId="0" applyFill="1" applyBorder="1" applyAlignment="1">
      <alignment horizontal="left" indent="2"/>
    </xf>
    <xf numFmtId="173" fontId="0" fillId="12" borderId="40" xfId="0" applyNumberFormat="1" applyFill="1" applyBorder="1" applyAlignment="1">
      <alignment horizontal="center" vertical="center"/>
    </xf>
    <xf numFmtId="3" fontId="0" fillId="12" borderId="41" xfId="0" applyNumberFormat="1" applyFill="1" applyBorder="1" applyAlignment="1">
      <alignment horizontal="center" vertical="center"/>
    </xf>
    <xf numFmtId="173" fontId="0" fillId="12" borderId="41" xfId="0" applyNumberFormat="1" applyFill="1" applyBorder="1" applyAlignment="1">
      <alignment horizontal="center" vertical="center"/>
    </xf>
    <xf numFmtId="3" fontId="0" fillId="12" borderId="42" xfId="0" applyNumberFormat="1" applyFill="1" applyBorder="1" applyAlignment="1">
      <alignment horizontal="center" vertical="center"/>
    </xf>
    <xf numFmtId="173" fontId="0" fillId="12" borderId="43" xfId="0" applyNumberFormat="1" applyFill="1" applyBorder="1" applyAlignment="1">
      <alignment horizontal="center" vertical="center"/>
    </xf>
    <xf numFmtId="3" fontId="0" fillId="12" borderId="44" xfId="0" applyNumberForma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26" xfId="0" applyFill="1" applyBorder="1" applyAlignment="1">
      <alignment horizontal="center" vertical="center"/>
    </xf>
    <xf numFmtId="0" fontId="0" fillId="12" borderId="27" xfId="0" applyFill="1" applyBorder="1" applyAlignment="1">
      <alignment horizontal="center" vertical="center"/>
    </xf>
    <xf numFmtId="164" fontId="0" fillId="12" borderId="15" xfId="0" applyNumberFormat="1" applyFill="1" applyBorder="1" applyAlignment="1">
      <alignment horizontal="center" vertical="center"/>
    </xf>
    <xf numFmtId="164" fontId="0" fillId="0" borderId="29" xfId="0" applyNumberFormat="1" applyFill="1" applyBorder="1" applyAlignment="1">
      <alignment horizontal="center" vertical="center"/>
    </xf>
    <xf numFmtId="0" fontId="25" fillId="0" borderId="0" xfId="0" applyNumberFormat="1" applyFont="1" applyFill="1" applyBorder="1"/>
    <xf numFmtId="0" fontId="21" fillId="0" borderId="0" xfId="1"/>
    <xf numFmtId="0" fontId="0" fillId="14" borderId="1" xfId="0" applyFill="1" applyBorder="1"/>
    <xf numFmtId="0" fontId="2" fillId="0" borderId="1" xfId="0" applyFont="1" applyBorder="1"/>
    <xf numFmtId="0" fontId="2" fillId="14" borderId="1" xfId="0" applyFont="1" applyFill="1" applyBorder="1"/>
    <xf numFmtId="176" fontId="3" fillId="0" borderId="45" xfId="0" applyNumberFormat="1" applyFont="1" applyBorder="1" applyAlignment="1">
      <alignment horizontal="center" vertical="center"/>
    </xf>
    <xf numFmtId="0" fontId="0" fillId="0" borderId="46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76" fontId="3" fillId="0" borderId="45" xfId="0" applyNumberFormat="1" applyFont="1" applyFill="1" applyBorder="1" applyAlignment="1">
      <alignment horizontal="center" vertical="center"/>
    </xf>
    <xf numFmtId="0" fontId="22" fillId="13" borderId="73" xfId="0" applyFont="1" applyFill="1" applyBorder="1" applyAlignment="1">
      <alignment horizontal="center" wrapText="1"/>
    </xf>
    <xf numFmtId="0" fontId="22" fillId="13" borderId="77" xfId="0" applyFont="1" applyFill="1" applyBorder="1" applyAlignment="1">
      <alignment horizontal="center" wrapText="1"/>
    </xf>
    <xf numFmtId="0" fontId="22" fillId="0" borderId="79" xfId="0" applyFont="1" applyFill="1" applyBorder="1" applyAlignment="1">
      <alignment horizontal="center" wrapText="1"/>
    </xf>
    <xf numFmtId="0" fontId="22" fillId="0" borderId="80" xfId="0" applyFont="1" applyFill="1" applyBorder="1" applyAlignment="1">
      <alignment horizontal="center" wrapText="1"/>
    </xf>
    <xf numFmtId="0" fontId="0" fillId="8" borderId="47" xfId="0" applyFill="1" applyBorder="1" applyAlignment="1">
      <alignment horizontal="center"/>
    </xf>
    <xf numFmtId="0" fontId="3" fillId="3" borderId="48" xfId="0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165" fontId="12" fillId="3" borderId="49" xfId="0" applyNumberFormat="1" applyFont="1" applyFill="1" applyBorder="1" applyAlignment="1" applyProtection="1">
      <alignment horizontal="center" wrapText="1"/>
    </xf>
    <xf numFmtId="0" fontId="2" fillId="0" borderId="3" xfId="0" applyFont="1" applyBorder="1" applyAlignment="1">
      <alignment horizontal="center" wrapText="1"/>
    </xf>
    <xf numFmtId="165" fontId="5" fillId="3" borderId="49" xfId="0" applyNumberFormat="1" applyFont="1" applyFill="1" applyBorder="1" applyAlignment="1" applyProtection="1">
      <alignment horizontal="center" wrapText="1"/>
    </xf>
    <xf numFmtId="0" fontId="0" fillId="0" borderId="3" xfId="0" applyBorder="1" applyAlignment="1">
      <alignment horizontal="center" wrapText="1"/>
    </xf>
    <xf numFmtId="165" fontId="12" fillId="0" borderId="50" xfId="0" applyNumberFormat="1" applyFont="1" applyFill="1" applyBorder="1" applyAlignment="1" applyProtection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165" fontId="5" fillId="3" borderId="55" xfId="0" applyNumberFormat="1" applyFont="1" applyFill="1" applyBorder="1" applyAlignment="1" applyProtection="1">
      <alignment horizontal="center" wrapText="1"/>
    </xf>
    <xf numFmtId="0" fontId="0" fillId="0" borderId="8" xfId="0" applyBorder="1" applyAlignment="1">
      <alignment horizontal="center" wrapText="1"/>
    </xf>
    <xf numFmtId="165" fontId="12" fillId="3" borderId="50" xfId="0" applyNumberFormat="1" applyFont="1" applyFill="1" applyBorder="1" applyAlignment="1" applyProtection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12" fillId="7" borderId="50" xfId="0" applyNumberFormat="1" applyFont="1" applyFill="1" applyBorder="1" applyAlignment="1" applyProtection="1">
      <alignment horizontal="center" vertical="center" wrapText="1"/>
    </xf>
    <xf numFmtId="0" fontId="2" fillId="6" borderId="51" xfId="0" applyFont="1" applyFill="1" applyBorder="1" applyAlignment="1">
      <alignment horizontal="center" vertical="center" wrapText="1"/>
    </xf>
    <xf numFmtId="0" fontId="2" fillId="6" borderId="52" xfId="0" applyFont="1" applyFill="1" applyBorder="1" applyAlignment="1">
      <alignment horizontal="center" vertical="center" wrapText="1"/>
    </xf>
    <xf numFmtId="0" fontId="2" fillId="6" borderId="53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5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3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33" xfId="0" applyFill="1" applyBorder="1" applyAlignment="1">
      <alignment horizontal="center" wrapText="1"/>
    </xf>
    <xf numFmtId="0" fontId="0" fillId="10" borderId="32" xfId="0" applyFill="1" applyBorder="1" applyAlignment="1">
      <alignment horizont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>
      <alignment horizontal="center" vertical="center" wrapText="1"/>
    </xf>
    <xf numFmtId="0" fontId="0" fillId="0" borderId="3" xfId="0" applyBorder="1" applyAlignment="1"/>
    <xf numFmtId="0" fontId="0" fillId="0" borderId="2" xfId="0" applyBorder="1" applyAlignment="1"/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/>
    <xf numFmtId="0" fontId="0" fillId="0" borderId="67" xfId="0" applyBorder="1" applyAlignment="1"/>
    <xf numFmtId="0" fontId="0" fillId="0" borderId="38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</cellXfs>
  <cellStyles count="3">
    <cellStyle name="Normal" xfId="0" builtinId="0"/>
    <cellStyle name="Normal 4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J39"/>
  <sheetViews>
    <sheetView workbookViewId="0">
      <selection activeCell="C52" sqref="C52"/>
    </sheetView>
  </sheetViews>
  <sheetFormatPr defaultRowHeight="13.2" x14ac:dyDescent="0.25"/>
  <cols>
    <col min="2" max="2" width="45.33203125" customWidth="1"/>
    <col min="3" max="4" width="29.88671875" customWidth="1"/>
    <col min="5" max="6" width="22.33203125" customWidth="1"/>
    <col min="7" max="9" width="18.6640625" customWidth="1"/>
    <col min="10" max="10" width="18.6640625" hidden="1" customWidth="1"/>
  </cols>
  <sheetData>
    <row r="3" spans="2:10" ht="16.2" thickBot="1" x14ac:dyDescent="0.3">
      <c r="B3" s="260" t="s">
        <v>93</v>
      </c>
      <c r="C3" s="260"/>
      <c r="D3" s="260"/>
      <c r="E3" s="260"/>
      <c r="F3" s="260"/>
      <c r="G3" s="260"/>
      <c r="H3" s="260"/>
      <c r="I3" s="260"/>
      <c r="J3" s="260"/>
    </row>
    <row r="4" spans="2:10" ht="13.8" thickBot="1" x14ac:dyDescent="0.3">
      <c r="B4" s="119" t="s">
        <v>94</v>
      </c>
      <c r="C4" s="120" t="s">
        <v>203</v>
      </c>
      <c r="D4" s="166" t="s">
        <v>204</v>
      </c>
      <c r="E4" s="120" t="s">
        <v>205</v>
      </c>
      <c r="F4" s="121" t="s">
        <v>206</v>
      </c>
      <c r="G4" s="121" t="s">
        <v>207</v>
      </c>
      <c r="H4" s="121" t="s">
        <v>208</v>
      </c>
      <c r="I4" s="121" t="s">
        <v>209</v>
      </c>
      <c r="J4" s="121" t="s">
        <v>120</v>
      </c>
    </row>
    <row r="5" spans="2:10" x14ac:dyDescent="0.25">
      <c r="B5" s="122" t="s">
        <v>95</v>
      </c>
      <c r="C5" s="214" t="s">
        <v>211</v>
      </c>
      <c r="D5" s="214" t="s">
        <v>210</v>
      </c>
      <c r="E5" s="214" t="s">
        <v>212</v>
      </c>
      <c r="F5" s="214" t="s">
        <v>212</v>
      </c>
      <c r="G5" s="124"/>
      <c r="H5" s="124"/>
      <c r="I5" s="124"/>
      <c r="J5" s="124"/>
    </row>
    <row r="6" spans="2:10" x14ac:dyDescent="0.25">
      <c r="B6" s="122" t="s">
        <v>96</v>
      </c>
      <c r="C6" s="123">
        <v>2</v>
      </c>
      <c r="D6" s="123">
        <v>2</v>
      </c>
      <c r="E6" s="123">
        <v>2</v>
      </c>
      <c r="F6" s="124">
        <v>2</v>
      </c>
      <c r="G6" s="124"/>
      <c r="H6" s="124"/>
      <c r="I6" s="124"/>
      <c r="J6" s="124"/>
    </row>
    <row r="7" spans="2:10" x14ac:dyDescent="0.25">
      <c r="B7" s="122" t="s">
        <v>97</v>
      </c>
      <c r="C7" s="123"/>
      <c r="D7" s="125"/>
      <c r="E7" s="125"/>
      <c r="F7" s="126"/>
      <c r="G7" s="124"/>
      <c r="H7" s="124"/>
      <c r="I7" s="124"/>
      <c r="J7" s="124"/>
    </row>
    <row r="8" spans="2:10" x14ac:dyDescent="0.25">
      <c r="B8" s="122" t="s">
        <v>98</v>
      </c>
      <c r="C8" s="123">
        <v>120</v>
      </c>
      <c r="D8" s="123">
        <v>120</v>
      </c>
      <c r="E8" s="123">
        <v>120</v>
      </c>
      <c r="F8" s="124">
        <v>120</v>
      </c>
      <c r="G8" s="124">
        <v>120</v>
      </c>
      <c r="H8" s="124">
        <v>120</v>
      </c>
      <c r="I8" s="124">
        <v>120</v>
      </c>
      <c r="J8" s="124">
        <v>120</v>
      </c>
    </row>
    <row r="9" spans="2:10" x14ac:dyDescent="0.25">
      <c r="B9" s="122" t="s">
        <v>99</v>
      </c>
      <c r="C9" s="123"/>
      <c r="D9" s="127"/>
      <c r="E9" s="127"/>
      <c r="F9" s="128"/>
      <c r="G9" s="124"/>
      <c r="H9" s="124"/>
      <c r="I9" s="124"/>
      <c r="J9" s="124"/>
    </row>
    <row r="10" spans="2:10" x14ac:dyDescent="0.25">
      <c r="B10" s="122" t="s">
        <v>100</v>
      </c>
      <c r="C10" s="123"/>
      <c r="D10" s="123"/>
      <c r="E10" s="123"/>
      <c r="F10" s="124"/>
      <c r="G10" s="124"/>
      <c r="H10" s="124"/>
      <c r="I10" s="124"/>
      <c r="J10" s="124"/>
    </row>
    <row r="11" spans="2:10" x14ac:dyDescent="0.25">
      <c r="B11" s="122" t="s">
        <v>101</v>
      </c>
      <c r="C11" s="123">
        <v>74</v>
      </c>
      <c r="D11" s="123">
        <v>114</v>
      </c>
      <c r="E11" s="251">
        <v>46</v>
      </c>
      <c r="F11" s="252">
        <v>46</v>
      </c>
      <c r="G11" s="124"/>
      <c r="H11" s="124"/>
      <c r="I11" s="124"/>
      <c r="J11" s="124"/>
    </row>
    <row r="12" spans="2:10" ht="13.8" thickBot="1" x14ac:dyDescent="0.3">
      <c r="B12" s="129" t="s">
        <v>102</v>
      </c>
      <c r="C12" s="250">
        <f>C11/C6</f>
        <v>37</v>
      </c>
      <c r="D12" s="130">
        <f>D11/D6</f>
        <v>57</v>
      </c>
      <c r="E12" s="130">
        <f>E11/E6</f>
        <v>23</v>
      </c>
      <c r="F12" s="130">
        <f>F11/F6</f>
        <v>23</v>
      </c>
      <c r="G12" s="253">
        <f>'LED Watts'!I20</f>
        <v>15.45</v>
      </c>
      <c r="H12" s="253">
        <f>'LED Watts'!I20</f>
        <v>15.45</v>
      </c>
      <c r="I12" s="253">
        <f>'LED Watts'!I7</f>
        <v>6.833333333333333</v>
      </c>
      <c r="J12" s="115">
        <v>39.6</v>
      </c>
    </row>
    <row r="13" spans="2:10" x14ac:dyDescent="0.25">
      <c r="B13" s="261"/>
      <c r="C13" s="261"/>
      <c r="D13" s="261"/>
      <c r="E13" s="261"/>
      <c r="F13" s="261"/>
      <c r="G13" s="261"/>
      <c r="H13" s="261"/>
      <c r="I13" s="261"/>
      <c r="J13" s="261"/>
    </row>
    <row r="14" spans="2:10" x14ac:dyDescent="0.25">
      <c r="B14" s="262"/>
      <c r="C14" s="262"/>
      <c r="D14" s="262"/>
      <c r="E14" s="262"/>
      <c r="F14" s="262"/>
      <c r="G14" s="262"/>
      <c r="H14" s="262"/>
      <c r="I14" s="262"/>
      <c r="J14" s="262"/>
    </row>
    <row r="15" spans="2:10" x14ac:dyDescent="0.25">
      <c r="B15" s="131"/>
      <c r="C15" s="132"/>
      <c r="D15" s="132"/>
      <c r="E15" s="132"/>
      <c r="F15" s="132"/>
      <c r="G15" s="132"/>
      <c r="H15" s="132"/>
      <c r="I15" s="132"/>
      <c r="J15" s="1"/>
    </row>
    <row r="16" spans="2:10" ht="16.2" thickBot="1" x14ac:dyDescent="0.3">
      <c r="B16" s="263" t="s">
        <v>103</v>
      </c>
      <c r="C16" s="263"/>
      <c r="D16" s="263"/>
      <c r="E16" s="263"/>
      <c r="F16" s="263"/>
      <c r="G16" s="263"/>
      <c r="H16" s="263"/>
      <c r="I16" s="263"/>
      <c r="J16" s="263"/>
    </row>
    <row r="17" spans="2:10" ht="13.8" thickBot="1" x14ac:dyDescent="0.3">
      <c r="B17" s="119" t="s">
        <v>94</v>
      </c>
      <c r="C17" s="120" t="s">
        <v>203</v>
      </c>
      <c r="D17" s="166" t="s">
        <v>204</v>
      </c>
      <c r="E17" s="120" t="s">
        <v>205</v>
      </c>
      <c r="F17" s="121" t="s">
        <v>206</v>
      </c>
      <c r="G17" s="121" t="s">
        <v>207</v>
      </c>
      <c r="H17" s="121" t="s">
        <v>208</v>
      </c>
      <c r="I17" s="121" t="s">
        <v>209</v>
      </c>
      <c r="J17" s="121" t="s">
        <v>120</v>
      </c>
    </row>
    <row r="18" spans="2:10" x14ac:dyDescent="0.25">
      <c r="B18" s="133" t="s">
        <v>104</v>
      </c>
      <c r="C18" s="134">
        <f t="shared" ref="C18:J18" si="0">C12/1000</f>
        <v>3.6999999999999998E-2</v>
      </c>
      <c r="D18" s="134">
        <f t="shared" si="0"/>
        <v>5.7000000000000002E-2</v>
      </c>
      <c r="E18" s="134">
        <f t="shared" si="0"/>
        <v>2.3E-2</v>
      </c>
      <c r="F18" s="134">
        <f t="shared" si="0"/>
        <v>2.3E-2</v>
      </c>
      <c r="G18" s="136">
        <f t="shared" si="0"/>
        <v>1.5449999999999998E-2</v>
      </c>
      <c r="H18" s="136">
        <f t="shared" si="0"/>
        <v>1.5449999999999998E-2</v>
      </c>
      <c r="I18" s="135">
        <f t="shared" si="0"/>
        <v>6.8333333333333328E-3</v>
      </c>
      <c r="J18" s="136">
        <f t="shared" si="0"/>
        <v>3.9600000000000003E-2</v>
      </c>
    </row>
    <row r="19" spans="2:10" x14ac:dyDescent="0.25">
      <c r="B19" s="122" t="s">
        <v>143</v>
      </c>
      <c r="C19" s="123">
        <f>C18*2</f>
        <v>7.3999999999999996E-2</v>
      </c>
      <c r="D19" s="123">
        <f>D18</f>
        <v>5.7000000000000002E-2</v>
      </c>
      <c r="E19" s="123">
        <f>E18*2</f>
        <v>4.5999999999999999E-2</v>
      </c>
      <c r="F19" s="123">
        <f>F18</f>
        <v>2.3E-2</v>
      </c>
      <c r="G19" s="138">
        <f>G18</f>
        <v>1.5449999999999998E-2</v>
      </c>
      <c r="H19" s="138">
        <f>H18</f>
        <v>1.5449999999999998E-2</v>
      </c>
      <c r="I19" s="137">
        <f>I18</f>
        <v>6.8333333333333328E-3</v>
      </c>
      <c r="J19" s="138">
        <f>J18</f>
        <v>3.9600000000000003E-2</v>
      </c>
    </row>
    <row r="20" spans="2:10" x14ac:dyDescent="0.25">
      <c r="B20" s="122" t="s">
        <v>141</v>
      </c>
      <c r="C20" s="125" t="s">
        <v>118</v>
      </c>
      <c r="D20" s="125" t="s">
        <v>118</v>
      </c>
      <c r="E20" s="125" t="s">
        <v>118</v>
      </c>
      <c r="F20" s="123"/>
      <c r="G20" s="168">
        <f>C19-G19</f>
        <v>5.8549999999999998E-2</v>
      </c>
      <c r="H20" s="168">
        <f>D19-H19</f>
        <v>4.1550000000000004E-2</v>
      </c>
      <c r="I20" s="168">
        <f>D19-I19</f>
        <v>5.0166666666666672E-2</v>
      </c>
      <c r="J20" s="137">
        <f>C19-J19</f>
        <v>3.4399999999999993E-2</v>
      </c>
    </row>
    <row r="21" spans="2:10" x14ac:dyDescent="0.25">
      <c r="B21" s="122" t="s">
        <v>142</v>
      </c>
      <c r="C21" s="125" t="s">
        <v>118</v>
      </c>
      <c r="D21" s="125" t="s">
        <v>118</v>
      </c>
      <c r="E21" s="125" t="s">
        <v>118</v>
      </c>
      <c r="F21" s="125" t="s">
        <v>118</v>
      </c>
      <c r="G21" s="168">
        <f>E19-G19</f>
        <v>3.0550000000000001E-2</v>
      </c>
      <c r="H21" s="169">
        <f>F19-H19</f>
        <v>7.5500000000000012E-3</v>
      </c>
      <c r="I21" s="168">
        <f>F19-I19</f>
        <v>1.6166666666666666E-2</v>
      </c>
      <c r="J21" s="137">
        <f>F19-J19</f>
        <v>-1.6600000000000004E-2</v>
      </c>
    </row>
    <row r="22" spans="2:10" x14ac:dyDescent="0.25">
      <c r="B22" s="122"/>
      <c r="C22" s="125"/>
      <c r="D22" s="125"/>
      <c r="E22" s="125"/>
      <c r="F22" s="125"/>
      <c r="G22" s="139"/>
      <c r="H22" s="126"/>
      <c r="I22" s="137"/>
      <c r="J22" s="137"/>
    </row>
    <row r="23" spans="2:10" x14ac:dyDescent="0.25">
      <c r="B23" s="140" t="s">
        <v>109</v>
      </c>
      <c r="C23" s="254">
        <f t="shared" ref="C23:I23" si="1">C24/365</f>
        <v>12.904109589041095</v>
      </c>
      <c r="D23" s="254">
        <f t="shared" si="1"/>
        <v>12.904109589041095</v>
      </c>
      <c r="E23" s="254">
        <f t="shared" si="1"/>
        <v>12.904109589041095</v>
      </c>
      <c r="F23" s="254">
        <f t="shared" si="1"/>
        <v>12.904109589041095</v>
      </c>
      <c r="G23" s="254">
        <f t="shared" si="1"/>
        <v>12.904109589041095</v>
      </c>
      <c r="H23" s="254">
        <f t="shared" si="1"/>
        <v>12.904109589041095</v>
      </c>
      <c r="I23" s="254">
        <f t="shared" si="1"/>
        <v>12.904109589041095</v>
      </c>
      <c r="J23" s="141">
        <v>18</v>
      </c>
    </row>
    <row r="24" spans="2:10" x14ac:dyDescent="0.25">
      <c r="B24" s="140" t="s">
        <v>110</v>
      </c>
      <c r="C24" s="142">
        <v>4710</v>
      </c>
      <c r="D24" s="142">
        <v>4710</v>
      </c>
      <c r="E24" s="142">
        <v>4710</v>
      </c>
      <c r="F24" s="142">
        <v>4710</v>
      </c>
      <c r="G24" s="142">
        <v>4710</v>
      </c>
      <c r="H24" s="142">
        <v>4710</v>
      </c>
      <c r="I24" s="142">
        <v>4710</v>
      </c>
      <c r="J24" s="143">
        <f>J23*365</f>
        <v>6570</v>
      </c>
    </row>
    <row r="25" spans="2:10" x14ac:dyDescent="0.25">
      <c r="B25" s="148" t="s">
        <v>157</v>
      </c>
      <c r="C25" s="144">
        <f t="shared" ref="C25:J25" si="2">C24*C19</f>
        <v>348.53999999999996</v>
      </c>
      <c r="D25" s="144">
        <f t="shared" si="2"/>
        <v>268.47000000000003</v>
      </c>
      <c r="E25" s="144">
        <f t="shared" si="2"/>
        <v>216.66</v>
      </c>
      <c r="F25" s="144">
        <f t="shared" si="2"/>
        <v>108.33</v>
      </c>
      <c r="G25" s="144">
        <f t="shared" si="2"/>
        <v>72.769499999999994</v>
      </c>
      <c r="H25" s="144">
        <f t="shared" si="2"/>
        <v>72.769499999999994</v>
      </c>
      <c r="I25" s="144">
        <f t="shared" si="2"/>
        <v>32.184999999999995</v>
      </c>
      <c r="J25" s="144">
        <f t="shared" si="2"/>
        <v>260.17200000000003</v>
      </c>
    </row>
    <row r="26" spans="2:10" x14ac:dyDescent="0.25">
      <c r="B26" s="148" t="s">
        <v>158</v>
      </c>
      <c r="C26" s="145" t="s">
        <v>118</v>
      </c>
      <c r="D26" s="145" t="s">
        <v>118</v>
      </c>
      <c r="E26" s="145" t="s">
        <v>118</v>
      </c>
      <c r="F26" s="144"/>
      <c r="G26" s="170">
        <f>C25-G25</f>
        <v>275.77049999999997</v>
      </c>
      <c r="H26" s="170">
        <f>D25-H25</f>
        <v>195.70050000000003</v>
      </c>
      <c r="I26" s="170">
        <f>D25-I25</f>
        <v>236.28500000000003</v>
      </c>
      <c r="J26" s="144">
        <f>C25-J25</f>
        <v>88.367999999999938</v>
      </c>
    </row>
    <row r="27" spans="2:10" x14ac:dyDescent="0.25">
      <c r="B27" s="148" t="s">
        <v>159</v>
      </c>
      <c r="C27" s="145" t="s">
        <v>118</v>
      </c>
      <c r="D27" s="145" t="s">
        <v>118</v>
      </c>
      <c r="E27" s="145" t="s">
        <v>118</v>
      </c>
      <c r="F27" s="145" t="s">
        <v>118</v>
      </c>
      <c r="G27" s="170">
        <f>E25-G25</f>
        <v>143.8905</v>
      </c>
      <c r="H27" s="171">
        <f>F25-H25</f>
        <v>35.560500000000005</v>
      </c>
      <c r="I27" s="170">
        <f>F25-I25</f>
        <v>76.14500000000001</v>
      </c>
      <c r="J27" s="144">
        <f>F25-J25</f>
        <v>-151.84200000000004</v>
      </c>
    </row>
    <row r="28" spans="2:10" x14ac:dyDescent="0.25">
      <c r="B28" s="148"/>
      <c r="C28" s="145"/>
      <c r="D28" s="145"/>
      <c r="E28" s="145"/>
      <c r="F28" s="145"/>
      <c r="G28" s="146"/>
      <c r="H28" s="147"/>
      <c r="I28" s="144"/>
      <c r="J28" s="144"/>
    </row>
    <row r="29" spans="2:10" x14ac:dyDescent="0.25">
      <c r="B29" s="122" t="s">
        <v>128</v>
      </c>
      <c r="C29" s="149">
        <f>0.89*0.79</f>
        <v>0.70310000000000006</v>
      </c>
      <c r="D29" s="149">
        <v>0.7</v>
      </c>
      <c r="E29" s="149">
        <v>0.7</v>
      </c>
      <c r="F29" s="149">
        <f>0.89*0.79</f>
        <v>0.70310000000000006</v>
      </c>
      <c r="G29" s="150">
        <v>0.8</v>
      </c>
      <c r="H29" s="150">
        <v>0.8</v>
      </c>
      <c r="I29" s="150">
        <v>0.8</v>
      </c>
      <c r="J29" s="150">
        <v>0.7</v>
      </c>
    </row>
    <row r="30" spans="2:10" x14ac:dyDescent="0.25">
      <c r="B30" s="122" t="s">
        <v>119</v>
      </c>
      <c r="C30" s="144">
        <f t="shared" ref="C30:J30" si="3">C18*C29*3413*C23/24</f>
        <v>47.738845420205479</v>
      </c>
      <c r="D30" s="144">
        <f t="shared" si="3"/>
        <v>73.219369520547943</v>
      </c>
      <c r="E30" s="144">
        <f t="shared" si="3"/>
        <v>29.544657876712325</v>
      </c>
      <c r="F30" s="144">
        <f t="shared" si="3"/>
        <v>29.675498504452051</v>
      </c>
      <c r="G30" s="144">
        <f t="shared" si="3"/>
        <v>22.681488904109589</v>
      </c>
      <c r="H30" s="144">
        <f t="shared" si="3"/>
        <v>22.681488904109589</v>
      </c>
      <c r="I30" s="144">
        <f t="shared" si="3"/>
        <v>10.031726484018265</v>
      </c>
      <c r="J30" s="144">
        <f t="shared" si="3"/>
        <v>70.956270000000004</v>
      </c>
    </row>
    <row r="31" spans="2:10" ht="13.8" thickBot="1" x14ac:dyDescent="0.3">
      <c r="B31" s="129" t="s">
        <v>121</v>
      </c>
      <c r="C31" s="151" t="s">
        <v>118</v>
      </c>
      <c r="D31" s="151" t="s">
        <v>118</v>
      </c>
      <c r="E31" s="151" t="s">
        <v>118</v>
      </c>
      <c r="F31" s="152"/>
      <c r="G31" s="174">
        <f>C30-G30</f>
        <v>25.05735651609589</v>
      </c>
      <c r="H31" s="174">
        <f>D30-H30</f>
        <v>50.537880616438358</v>
      </c>
      <c r="I31" s="174">
        <f>D30-I30</f>
        <v>63.187643036529678</v>
      </c>
      <c r="J31" s="153">
        <f>C30-J30</f>
        <v>-23.217424579794525</v>
      </c>
    </row>
    <row r="32" spans="2:10" ht="13.8" thickBot="1" x14ac:dyDescent="0.3">
      <c r="B32" s="129" t="s">
        <v>122</v>
      </c>
      <c r="C32" s="154" t="s">
        <v>118</v>
      </c>
      <c r="D32" s="154" t="s">
        <v>118</v>
      </c>
      <c r="E32" s="154" t="s">
        <v>118</v>
      </c>
      <c r="F32" s="154" t="s">
        <v>118</v>
      </c>
      <c r="G32" s="172">
        <f>E30-G30</f>
        <v>6.8631689726027361</v>
      </c>
      <c r="H32" s="173">
        <f>F30-H30</f>
        <v>6.9940096003424621</v>
      </c>
      <c r="I32" s="172">
        <f>F30-I30</f>
        <v>19.643772020433786</v>
      </c>
      <c r="J32" s="155">
        <f>F30-J30</f>
        <v>-41.280771495547953</v>
      </c>
    </row>
    <row r="33" spans="2:10" x14ac:dyDescent="0.25">
      <c r="B33" s="102" t="s">
        <v>116</v>
      </c>
      <c r="C33" s="101">
        <f t="shared" ref="C33:J33" si="4">C30</f>
        <v>47.738845420205479</v>
      </c>
      <c r="D33" s="101">
        <f t="shared" si="4"/>
        <v>73.219369520547943</v>
      </c>
      <c r="E33" s="101">
        <f t="shared" si="4"/>
        <v>29.544657876712325</v>
      </c>
      <c r="F33" s="101">
        <f t="shared" si="4"/>
        <v>29.675498504452051</v>
      </c>
      <c r="G33" s="101">
        <f t="shared" si="4"/>
        <v>22.681488904109589</v>
      </c>
      <c r="H33" s="101">
        <f t="shared" si="4"/>
        <v>22.681488904109589</v>
      </c>
      <c r="I33" s="101">
        <f t="shared" si="4"/>
        <v>10.031726484018265</v>
      </c>
      <c r="J33" s="101">
        <f t="shared" si="4"/>
        <v>70.956270000000004</v>
      </c>
    </row>
    <row r="34" spans="2:10" x14ac:dyDescent="0.25">
      <c r="B34" s="91" t="s">
        <v>105</v>
      </c>
      <c r="C34" s="92">
        <v>2.02</v>
      </c>
      <c r="D34" s="92">
        <v>2.02</v>
      </c>
      <c r="E34" s="92">
        <v>2.02</v>
      </c>
      <c r="F34" s="92">
        <v>2.02</v>
      </c>
      <c r="G34" s="92">
        <v>2.02</v>
      </c>
      <c r="H34" s="92">
        <v>3.02</v>
      </c>
      <c r="I34" s="93">
        <v>2.02</v>
      </c>
      <c r="J34" s="93">
        <v>3.02</v>
      </c>
    </row>
    <row r="35" spans="2:10" x14ac:dyDescent="0.25">
      <c r="B35" s="94" t="s">
        <v>106</v>
      </c>
      <c r="C35" s="95">
        <f t="shared" ref="C35:J35" si="5">C18/C34</f>
        <v>1.8316831683168316E-2</v>
      </c>
      <c r="D35" s="92">
        <f t="shared" si="5"/>
        <v>2.8217821782178219E-2</v>
      </c>
      <c r="E35" s="92">
        <f t="shared" si="5"/>
        <v>1.1386138613861386E-2</v>
      </c>
      <c r="F35" s="92">
        <f t="shared" si="5"/>
        <v>1.1386138613861386E-2</v>
      </c>
      <c r="G35" s="92">
        <f t="shared" si="5"/>
        <v>7.6485148514851475E-3</v>
      </c>
      <c r="H35" s="92">
        <f t="shared" si="5"/>
        <v>5.1158940397350991E-3</v>
      </c>
      <c r="I35" s="96">
        <f t="shared" si="5"/>
        <v>3.3828382838283827E-3</v>
      </c>
      <c r="J35" s="96">
        <f t="shared" si="5"/>
        <v>1.3112582781456954E-2</v>
      </c>
    </row>
    <row r="36" spans="2:10" x14ac:dyDescent="0.25">
      <c r="B36" s="94" t="s">
        <v>107</v>
      </c>
      <c r="C36" s="95">
        <f t="shared" ref="C36:J36" si="6">C18+C35</f>
        <v>5.531683168316831E-2</v>
      </c>
      <c r="D36" s="92">
        <f t="shared" si="6"/>
        <v>8.5217821782178224E-2</v>
      </c>
      <c r="E36" s="92">
        <f t="shared" si="6"/>
        <v>3.4386138613861389E-2</v>
      </c>
      <c r="F36" s="92">
        <f t="shared" si="6"/>
        <v>3.4386138613861389E-2</v>
      </c>
      <c r="G36" s="92">
        <f t="shared" si="6"/>
        <v>2.3098514851485147E-2</v>
      </c>
      <c r="H36" s="92">
        <f t="shared" si="6"/>
        <v>2.0565894039735098E-2</v>
      </c>
      <c r="I36" s="96">
        <f t="shared" si="6"/>
        <v>1.0216171617161715E-2</v>
      </c>
      <c r="J36" s="96">
        <f t="shared" si="6"/>
        <v>5.2712582781456956E-2</v>
      </c>
    </row>
    <row r="37" spans="2:10" x14ac:dyDescent="0.25">
      <c r="B37" s="94" t="s">
        <v>108</v>
      </c>
      <c r="C37" s="95">
        <f>C36*6/5</f>
        <v>6.6380198019801967E-2</v>
      </c>
      <c r="D37" s="92">
        <f>D36*6/5</f>
        <v>0.10226138613861387</v>
      </c>
      <c r="E37" s="92">
        <f>E36*6/5</f>
        <v>4.1263366336633668E-2</v>
      </c>
      <c r="F37" s="92">
        <f>F36*6/5</f>
        <v>4.1263366336633668E-2</v>
      </c>
      <c r="G37" s="92">
        <f>G36</f>
        <v>2.3098514851485147E-2</v>
      </c>
      <c r="H37" s="92">
        <f>H36</f>
        <v>2.0565894039735098E-2</v>
      </c>
      <c r="I37" s="96">
        <f>I36/3</f>
        <v>3.4053905390539051E-3</v>
      </c>
      <c r="J37" s="96">
        <f>J36/3</f>
        <v>1.7570860927152317E-2</v>
      </c>
    </row>
    <row r="38" spans="2:10" ht="13.8" thickBot="1" x14ac:dyDescent="0.3">
      <c r="B38" s="85" t="s">
        <v>111</v>
      </c>
      <c r="C38" s="86">
        <f>C37*C24</f>
        <v>312.65073267326727</v>
      </c>
      <c r="D38" s="156">
        <f>D37*D24</f>
        <v>481.6511287128713</v>
      </c>
      <c r="E38" s="156">
        <f>E37*E24</f>
        <v>194.35045544554458</v>
      </c>
      <c r="F38" s="156">
        <f>F37*F24</f>
        <v>194.35045544554458</v>
      </c>
      <c r="G38" s="157">
        <f>G24*G37</f>
        <v>108.79400495049504</v>
      </c>
      <c r="H38" s="157">
        <f>H24*H37</f>
        <v>96.86536092715231</v>
      </c>
      <c r="I38" s="87">
        <f>I24*I37</f>
        <v>16.039389438943893</v>
      </c>
      <c r="J38" s="87">
        <f>J24*J37</f>
        <v>115.44055629139072</v>
      </c>
    </row>
    <row r="39" spans="2:10" ht="13.8" thickBot="1" x14ac:dyDescent="0.3">
      <c r="B39" s="88" t="s">
        <v>112</v>
      </c>
      <c r="C39" s="89"/>
      <c r="D39" s="89"/>
      <c r="E39" s="89"/>
      <c r="F39" s="89"/>
      <c r="G39" s="90"/>
      <c r="H39" s="90"/>
      <c r="I39" s="90"/>
      <c r="J39" s="90"/>
    </row>
  </sheetData>
  <mergeCells count="4">
    <mergeCell ref="B3:J3"/>
    <mergeCell ref="B13:J13"/>
    <mergeCell ref="B14:J14"/>
    <mergeCell ref="B16:J16"/>
  </mergeCells>
  <phoneticPr fontId="13" type="noConversion"/>
  <pageMargins left="0.75" right="0.75" top="1" bottom="1" header="0.5" footer="0.5"/>
  <pageSetup orientation="portrait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H7" sqref="H7:I7"/>
    </sheetView>
  </sheetViews>
  <sheetFormatPr defaultColWidth="9.109375" defaultRowHeight="13.2" x14ac:dyDescent="0.25"/>
  <cols>
    <col min="1" max="1" width="11.33203125" style="183" customWidth="1"/>
    <col min="2" max="2" width="12.33203125" style="183" customWidth="1"/>
    <col min="3" max="5" width="9.109375" style="183"/>
    <col min="6" max="6" width="12.44140625" style="183" customWidth="1"/>
    <col min="7" max="7" width="21.44140625" style="183" customWidth="1"/>
    <col min="8" max="8" width="13.33203125" style="183" customWidth="1"/>
    <col min="9" max="9" width="13.109375" style="183" bestFit="1" customWidth="1"/>
    <col min="10" max="10" width="9.109375" style="183"/>
    <col min="11" max="11" width="12.109375" style="183" bestFit="1" customWidth="1"/>
    <col min="12" max="16384" width="9.109375" style="183"/>
  </cols>
  <sheetData>
    <row r="1" spans="1:12" ht="30.75" customHeight="1" thickBot="1" x14ac:dyDescent="0.35">
      <c r="A1" s="181"/>
      <c r="B1" s="182" t="s">
        <v>167</v>
      </c>
      <c r="C1" s="182" t="s">
        <v>168</v>
      </c>
      <c r="D1" s="182" t="s">
        <v>169</v>
      </c>
      <c r="E1" s="182" t="s">
        <v>170</v>
      </c>
      <c r="F1" s="182" t="s">
        <v>171</v>
      </c>
      <c r="G1" s="182" t="s">
        <v>172</v>
      </c>
      <c r="H1" s="264" t="s">
        <v>185</v>
      </c>
      <c r="I1" s="265"/>
      <c r="J1" s="182" t="s">
        <v>173</v>
      </c>
      <c r="K1" s="182" t="s">
        <v>174</v>
      </c>
    </row>
    <row r="2" spans="1:12" ht="16.2" thickBot="1" x14ac:dyDescent="0.35">
      <c r="A2" s="184"/>
      <c r="B2" s="181"/>
      <c r="C2" s="181"/>
      <c r="D2" s="181"/>
      <c r="E2" s="181"/>
      <c r="F2" s="181"/>
      <c r="G2" s="181"/>
      <c r="H2" s="184" t="s">
        <v>175</v>
      </c>
      <c r="I2" s="184" t="s">
        <v>176</v>
      </c>
      <c r="J2" s="181"/>
      <c r="K2" s="181"/>
    </row>
    <row r="3" spans="1:12" ht="20.100000000000001" customHeight="1" thickBot="1" x14ac:dyDescent="0.35">
      <c r="A3" s="181" t="s">
        <v>177</v>
      </c>
      <c r="B3" s="184" t="s">
        <v>191</v>
      </c>
      <c r="C3" s="184">
        <v>40</v>
      </c>
      <c r="D3" s="184" t="s">
        <v>189</v>
      </c>
      <c r="E3" s="184"/>
      <c r="F3" s="184" t="s">
        <v>178</v>
      </c>
      <c r="G3" s="185"/>
      <c r="H3" s="186"/>
      <c r="I3" s="186"/>
      <c r="J3" s="186"/>
      <c r="K3" s="188"/>
    </row>
    <row r="4" spans="1:12" ht="20.100000000000001" customHeight="1" thickBot="1" x14ac:dyDescent="0.35">
      <c r="A4" s="181" t="s">
        <v>177</v>
      </c>
      <c r="B4" s="184" t="s">
        <v>191</v>
      </c>
      <c r="C4" s="184">
        <v>40</v>
      </c>
      <c r="D4" s="184">
        <v>1</v>
      </c>
      <c r="E4" s="184" t="s">
        <v>192</v>
      </c>
      <c r="F4" s="184" t="s">
        <v>179</v>
      </c>
      <c r="G4" s="185" t="s">
        <v>193</v>
      </c>
      <c r="H4" s="186">
        <v>398</v>
      </c>
      <c r="I4" s="187">
        <v>5.4</v>
      </c>
      <c r="J4" s="186">
        <f>C4-I4</f>
        <v>34.6</v>
      </c>
      <c r="K4" s="188">
        <f>J4/C4</f>
        <v>0.86499999999999999</v>
      </c>
      <c r="L4" s="183" t="s">
        <v>180</v>
      </c>
    </row>
    <row r="5" spans="1:12" ht="20.100000000000001" customHeight="1" thickBot="1" x14ac:dyDescent="0.35">
      <c r="A5" s="197" t="s">
        <v>177</v>
      </c>
      <c r="B5" s="198" t="s">
        <v>191</v>
      </c>
      <c r="C5" s="198">
        <v>40</v>
      </c>
      <c r="D5" s="198">
        <v>1</v>
      </c>
      <c r="E5" s="198" t="s">
        <v>194</v>
      </c>
      <c r="F5" s="198" t="s">
        <v>181</v>
      </c>
      <c r="G5" s="199" t="s">
        <v>195</v>
      </c>
      <c r="H5" s="200">
        <v>800</v>
      </c>
      <c r="I5" s="201">
        <v>7</v>
      </c>
      <c r="J5" s="200">
        <f>C5-I5</f>
        <v>33</v>
      </c>
      <c r="K5" s="202">
        <f>J5/C5</f>
        <v>0.82499999999999996</v>
      </c>
      <c r="L5" s="183" t="s">
        <v>182</v>
      </c>
    </row>
    <row r="6" spans="1:12" ht="20.100000000000001" customHeight="1" thickBot="1" x14ac:dyDescent="0.35">
      <c r="A6" s="226" t="s">
        <v>177</v>
      </c>
      <c r="B6" s="210" t="s">
        <v>191</v>
      </c>
      <c r="C6" s="210">
        <v>40</v>
      </c>
      <c r="D6" s="210">
        <v>1</v>
      </c>
      <c r="E6" s="210" t="s">
        <v>194</v>
      </c>
      <c r="F6" s="210" t="s">
        <v>183</v>
      </c>
      <c r="G6" s="223" t="s">
        <v>196</v>
      </c>
      <c r="H6" s="211">
        <v>495</v>
      </c>
      <c r="I6" s="227">
        <v>8.1</v>
      </c>
      <c r="J6" s="211">
        <f>C6-I6</f>
        <v>31.9</v>
      </c>
      <c r="K6" s="212">
        <f>J6/C6</f>
        <v>0.79749999999999999</v>
      </c>
      <c r="L6" s="183" t="s">
        <v>184</v>
      </c>
    </row>
    <row r="7" spans="1:12" ht="16.5" customHeight="1" x14ac:dyDescent="0.3">
      <c r="A7" s="190"/>
      <c r="B7" s="191"/>
      <c r="C7" s="191"/>
      <c r="D7" s="191"/>
      <c r="E7" s="191"/>
      <c r="F7" s="191"/>
      <c r="G7" s="192"/>
      <c r="H7" s="213" t="s">
        <v>190</v>
      </c>
      <c r="I7" s="228">
        <f>AVERAGE(I4:I6)</f>
        <v>6.833333333333333</v>
      </c>
      <c r="J7" s="193"/>
      <c r="K7" s="194"/>
    </row>
    <row r="8" spans="1:12" ht="16.5" customHeight="1" thickBot="1" x14ac:dyDescent="0.35">
      <c r="A8" s="190"/>
      <c r="B8" s="191"/>
      <c r="C8" s="191"/>
      <c r="D8" s="191"/>
      <c r="E8" s="191"/>
      <c r="F8" s="191"/>
      <c r="G8" s="192"/>
      <c r="H8" s="193"/>
      <c r="I8" s="193"/>
      <c r="J8" s="193"/>
      <c r="K8" s="194"/>
    </row>
    <row r="9" spans="1:12" ht="20.100000000000001" customHeight="1" thickBot="1" x14ac:dyDescent="0.35">
      <c r="A9" s="215" t="s">
        <v>177</v>
      </c>
      <c r="B9" s="216" t="s">
        <v>197</v>
      </c>
      <c r="C9" s="216">
        <v>24</v>
      </c>
      <c r="D9" s="217" t="s">
        <v>189</v>
      </c>
      <c r="E9" s="184"/>
      <c r="F9" s="184" t="s">
        <v>178</v>
      </c>
      <c r="G9" s="185"/>
      <c r="H9" s="186"/>
      <c r="I9" s="186"/>
      <c r="J9" s="186"/>
      <c r="K9" s="188"/>
    </row>
    <row r="10" spans="1:12" ht="20.100000000000001" customHeight="1" thickBot="1" x14ac:dyDescent="0.35">
      <c r="A10" s="195" t="s">
        <v>177</v>
      </c>
      <c r="B10" s="196" t="s">
        <v>197</v>
      </c>
      <c r="C10" s="196">
        <v>24</v>
      </c>
      <c r="D10" s="184">
        <v>1</v>
      </c>
      <c r="E10" s="184" t="s">
        <v>192</v>
      </c>
      <c r="F10" s="184" t="s">
        <v>179</v>
      </c>
      <c r="G10" s="185" t="s">
        <v>193</v>
      </c>
      <c r="H10" s="186">
        <v>398</v>
      </c>
      <c r="I10" s="187">
        <v>5.4</v>
      </c>
      <c r="J10" s="186">
        <f>C10-I10</f>
        <v>18.600000000000001</v>
      </c>
      <c r="K10" s="188">
        <f>J10/C10</f>
        <v>0.77500000000000002</v>
      </c>
      <c r="L10" s="183" t="s">
        <v>180</v>
      </c>
    </row>
    <row r="11" spans="1:12" ht="20.100000000000001" customHeight="1" thickBot="1" x14ac:dyDescent="0.35">
      <c r="A11" s="181" t="s">
        <v>177</v>
      </c>
      <c r="B11" s="196" t="s">
        <v>197</v>
      </c>
      <c r="C11" s="196">
        <v>24</v>
      </c>
      <c r="D11" s="184">
        <v>1</v>
      </c>
      <c r="E11" s="189" t="s">
        <v>194</v>
      </c>
      <c r="F11" s="184" t="s">
        <v>181</v>
      </c>
      <c r="G11" s="185" t="s">
        <v>195</v>
      </c>
      <c r="H11" s="186">
        <v>800</v>
      </c>
      <c r="I11" s="187">
        <v>7</v>
      </c>
      <c r="J11" s="186">
        <f>C11-I11</f>
        <v>17</v>
      </c>
      <c r="K11" s="188">
        <f>J11/C11</f>
        <v>0.70833333333333337</v>
      </c>
      <c r="L11" s="183" t="s">
        <v>182</v>
      </c>
    </row>
    <row r="12" spans="1:12" ht="20.100000000000001" customHeight="1" thickBot="1" x14ac:dyDescent="0.35">
      <c r="A12" s="224" t="s">
        <v>177</v>
      </c>
      <c r="B12" s="221" t="s">
        <v>197</v>
      </c>
      <c r="C12" s="221">
        <v>24</v>
      </c>
      <c r="D12" s="221">
        <v>1</v>
      </c>
      <c r="E12" s="221" t="s">
        <v>194</v>
      </c>
      <c r="F12" s="221" t="s">
        <v>183</v>
      </c>
      <c r="G12" s="222" t="s">
        <v>196</v>
      </c>
      <c r="H12" s="219">
        <v>495</v>
      </c>
      <c r="I12" s="225">
        <v>8.1</v>
      </c>
      <c r="J12" s="219">
        <f>C12-I12</f>
        <v>15.9</v>
      </c>
      <c r="K12" s="220">
        <f>J12/C12</f>
        <v>0.66249999999999998</v>
      </c>
      <c r="L12" s="183" t="s">
        <v>184</v>
      </c>
    </row>
    <row r="13" spans="1:12" ht="15.6" x14ac:dyDescent="0.3">
      <c r="A13" s="190"/>
      <c r="B13" s="191"/>
      <c r="C13" s="191"/>
      <c r="D13" s="191"/>
      <c r="E13" s="191"/>
      <c r="F13" s="191"/>
      <c r="G13" s="192"/>
      <c r="H13" s="213" t="s">
        <v>190</v>
      </c>
      <c r="I13" s="228">
        <f>AVERAGE(I10:I12)</f>
        <v>6.833333333333333</v>
      </c>
      <c r="J13" s="193"/>
      <c r="K13" s="194"/>
    </row>
    <row r="14" spans="1:12" ht="14.7" customHeight="1" x14ac:dyDescent="0.25">
      <c r="A14" s="203"/>
      <c r="B14" s="203"/>
      <c r="C14" s="203"/>
      <c r="D14" s="203"/>
      <c r="E14" s="203"/>
      <c r="F14" s="203"/>
      <c r="G14" s="204"/>
      <c r="H14" s="229"/>
      <c r="I14" s="229"/>
      <c r="J14" s="205"/>
      <c r="K14" s="205"/>
    </row>
    <row r="15" spans="1:12" ht="31.8" thickBot="1" x14ac:dyDescent="0.35">
      <c r="A15" s="195"/>
      <c r="B15" s="206" t="s">
        <v>167</v>
      </c>
      <c r="C15" s="206" t="s">
        <v>168</v>
      </c>
      <c r="D15" s="206" t="s">
        <v>169</v>
      </c>
      <c r="E15" s="206" t="s">
        <v>170</v>
      </c>
      <c r="F15" s="206" t="s">
        <v>171</v>
      </c>
      <c r="G15" s="206" t="s">
        <v>172</v>
      </c>
      <c r="H15" s="266" t="s">
        <v>185</v>
      </c>
      <c r="I15" s="267"/>
      <c r="J15" s="207" t="s">
        <v>173</v>
      </c>
      <c r="K15" s="207" t="s">
        <v>186</v>
      </c>
    </row>
    <row r="16" spans="1:12" ht="20.100000000000001" customHeight="1" thickBot="1" x14ac:dyDescent="0.35">
      <c r="A16" s="181" t="s">
        <v>187</v>
      </c>
      <c r="B16" s="184" t="s">
        <v>198</v>
      </c>
      <c r="C16" s="184">
        <v>65</v>
      </c>
      <c r="D16" s="184" t="s">
        <v>189</v>
      </c>
      <c r="E16" s="184"/>
      <c r="F16" s="184" t="s">
        <v>178</v>
      </c>
      <c r="G16" s="185"/>
      <c r="H16" s="218"/>
      <c r="I16" s="200"/>
      <c r="J16" s="200"/>
      <c r="K16" s="202"/>
    </row>
    <row r="17" spans="1:12" ht="20.100000000000001" customHeight="1" thickBot="1" x14ac:dyDescent="0.35">
      <c r="A17" s="181" t="s">
        <v>187</v>
      </c>
      <c r="B17" s="184" t="s">
        <v>198</v>
      </c>
      <c r="C17" s="184">
        <v>65</v>
      </c>
      <c r="D17" s="184">
        <v>1</v>
      </c>
      <c r="E17" s="184" t="s">
        <v>192</v>
      </c>
      <c r="F17" s="184" t="s">
        <v>179</v>
      </c>
      <c r="G17" s="185" t="s">
        <v>199</v>
      </c>
      <c r="H17" s="200">
        <v>1148</v>
      </c>
      <c r="I17" s="201">
        <v>15.9</v>
      </c>
      <c r="J17" s="200">
        <f>C17-I17</f>
        <v>49.1</v>
      </c>
      <c r="K17" s="202">
        <f>J17/C17</f>
        <v>0.75538461538461543</v>
      </c>
      <c r="L17" s="183" t="s">
        <v>180</v>
      </c>
    </row>
    <row r="18" spans="1:12" ht="20.100000000000001" customHeight="1" thickBot="1" x14ac:dyDescent="0.35">
      <c r="A18" s="181" t="s">
        <v>187</v>
      </c>
      <c r="B18" s="184" t="s">
        <v>198</v>
      </c>
      <c r="C18" s="184">
        <v>65</v>
      </c>
      <c r="D18" s="184">
        <v>1</v>
      </c>
      <c r="E18" s="198" t="s">
        <v>194</v>
      </c>
      <c r="F18" s="198" t="s">
        <v>181</v>
      </c>
      <c r="G18" s="199" t="s">
        <v>200</v>
      </c>
      <c r="H18" s="200">
        <v>1080</v>
      </c>
      <c r="I18" s="201">
        <v>15</v>
      </c>
      <c r="J18" s="200">
        <f>C18-I18</f>
        <v>50</v>
      </c>
      <c r="K18" s="202">
        <f>J18/C18</f>
        <v>0.76923076923076927</v>
      </c>
      <c r="L18" s="183" t="s">
        <v>188</v>
      </c>
    </row>
    <row r="19" spans="1:12" ht="20.100000000000001" customHeight="1" thickBot="1" x14ac:dyDescent="0.35">
      <c r="A19" s="181" t="s">
        <v>187</v>
      </c>
      <c r="B19" s="184" t="s">
        <v>198</v>
      </c>
      <c r="C19" s="184">
        <v>65</v>
      </c>
      <c r="D19" s="208" t="s">
        <v>201</v>
      </c>
      <c r="E19" s="209"/>
      <c r="F19" s="210" t="s">
        <v>183</v>
      </c>
      <c r="G19" s="223"/>
      <c r="H19" s="211"/>
      <c r="I19" s="211"/>
      <c r="J19" s="211"/>
      <c r="K19" s="212"/>
    </row>
    <row r="20" spans="1:12" ht="15.6" x14ac:dyDescent="0.3">
      <c r="H20" s="213" t="s">
        <v>190</v>
      </c>
      <c r="I20" s="228">
        <f>AVERAGE(I17:I19)</f>
        <v>15.45</v>
      </c>
      <c r="J20" s="1"/>
      <c r="K20" s="1"/>
    </row>
    <row r="21" spans="1:12" ht="13.8" thickBot="1" x14ac:dyDescent="0.3">
      <c r="H21" s="1"/>
      <c r="I21" s="1"/>
      <c r="J21" s="1"/>
      <c r="K21" s="1"/>
    </row>
    <row r="22" spans="1:12" ht="20.100000000000001" customHeight="1" thickBot="1" x14ac:dyDescent="0.35">
      <c r="A22" s="181" t="s">
        <v>187</v>
      </c>
      <c r="B22" s="184" t="s">
        <v>202</v>
      </c>
      <c r="C22" s="184">
        <v>43</v>
      </c>
      <c r="D22" s="184" t="s">
        <v>189</v>
      </c>
      <c r="E22" s="184"/>
      <c r="F22" s="184" t="s">
        <v>178</v>
      </c>
      <c r="G22" s="185"/>
      <c r="H22" s="218"/>
      <c r="I22" s="200"/>
      <c r="J22" s="200"/>
      <c r="K22" s="202"/>
    </row>
    <row r="23" spans="1:12" ht="20.100000000000001" customHeight="1" thickBot="1" x14ac:dyDescent="0.35">
      <c r="A23" s="181" t="s">
        <v>187</v>
      </c>
      <c r="B23" s="184" t="s">
        <v>202</v>
      </c>
      <c r="C23" s="184">
        <v>43</v>
      </c>
      <c r="D23" s="184">
        <v>1</v>
      </c>
      <c r="E23" s="184" t="s">
        <v>192</v>
      </c>
      <c r="F23" s="184" t="s">
        <v>179</v>
      </c>
      <c r="G23" s="185" t="s">
        <v>199</v>
      </c>
      <c r="H23" s="200">
        <v>1148</v>
      </c>
      <c r="I23" s="201">
        <v>15.9</v>
      </c>
      <c r="J23" s="200">
        <f>C23-I23</f>
        <v>27.1</v>
      </c>
      <c r="K23" s="202">
        <f>J23/C23</f>
        <v>0.63023255813953494</v>
      </c>
      <c r="L23" s="183" t="s">
        <v>180</v>
      </c>
    </row>
    <row r="24" spans="1:12" ht="20.100000000000001" customHeight="1" thickBot="1" x14ac:dyDescent="0.35">
      <c r="A24" s="181" t="s">
        <v>187</v>
      </c>
      <c r="B24" s="184" t="s">
        <v>202</v>
      </c>
      <c r="C24" s="184">
        <v>43</v>
      </c>
      <c r="D24" s="184">
        <v>1</v>
      </c>
      <c r="E24" s="189" t="s">
        <v>194</v>
      </c>
      <c r="F24" s="184" t="s">
        <v>181</v>
      </c>
      <c r="G24" s="185" t="s">
        <v>200</v>
      </c>
      <c r="H24" s="200">
        <v>1080</v>
      </c>
      <c r="I24" s="201">
        <v>15</v>
      </c>
      <c r="J24" s="200">
        <f>C24-I24</f>
        <v>28</v>
      </c>
      <c r="K24" s="202">
        <f>J24/C24</f>
        <v>0.65116279069767447</v>
      </c>
      <c r="L24" s="183" t="s">
        <v>188</v>
      </c>
    </row>
    <row r="25" spans="1:12" ht="20.100000000000001" customHeight="1" thickBot="1" x14ac:dyDescent="0.35">
      <c r="A25" s="181" t="s">
        <v>187</v>
      </c>
      <c r="B25" s="184" t="s">
        <v>202</v>
      </c>
      <c r="C25" s="184">
        <v>43</v>
      </c>
      <c r="D25" s="184" t="s">
        <v>189</v>
      </c>
      <c r="E25" s="221"/>
      <c r="F25" s="221" t="s">
        <v>183</v>
      </c>
      <c r="G25" s="222"/>
      <c r="H25" s="219"/>
      <c r="I25" s="219"/>
      <c r="J25" s="219"/>
      <c r="K25" s="220"/>
    </row>
    <row r="26" spans="1:12" ht="15.6" x14ac:dyDescent="0.3">
      <c r="H26" s="213" t="s">
        <v>190</v>
      </c>
      <c r="I26" s="228">
        <f>AVERAGE(I23:I25)</f>
        <v>15.45</v>
      </c>
    </row>
  </sheetData>
  <mergeCells count="2">
    <mergeCell ref="H1:I1"/>
    <mergeCell ref="H15:I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T56"/>
  <sheetViews>
    <sheetView zoomScale="60" zoomScaleNormal="60" workbookViewId="0">
      <selection activeCell="M24" sqref="M24"/>
    </sheetView>
  </sheetViews>
  <sheetFormatPr defaultColWidth="9.109375" defaultRowHeight="13.2" x14ac:dyDescent="0.25"/>
  <cols>
    <col min="1" max="1" width="5" style="1" customWidth="1"/>
    <col min="2" max="2" width="84.44140625" customWidth="1"/>
    <col min="3" max="3" width="31.6640625" customWidth="1"/>
    <col min="4" max="4" width="12.5546875" customWidth="1"/>
    <col min="5" max="6" width="10.88671875" customWidth="1"/>
    <col min="7" max="7" width="15.44140625" customWidth="1"/>
    <col min="8" max="8" width="19.44140625" customWidth="1"/>
    <col min="9" max="12" width="13.33203125" customWidth="1"/>
    <col min="13" max="13" width="14.6640625" customWidth="1"/>
    <col min="14" max="17" width="17.6640625" customWidth="1"/>
    <col min="18" max="18" width="16" customWidth="1"/>
    <col min="19" max="19" width="17.6640625" customWidth="1"/>
    <col min="20" max="20" width="20.6640625" customWidth="1"/>
    <col min="21" max="23" width="17.6640625" customWidth="1"/>
    <col min="24" max="24" width="20.6640625" customWidth="1"/>
    <col min="25" max="30" width="17.6640625" customWidth="1"/>
    <col min="31" max="31" width="20.6640625" customWidth="1"/>
    <col min="32" max="34" width="17.6640625" customWidth="1"/>
    <col min="35" max="35" width="20.6640625" customWidth="1"/>
    <col min="36" max="41" width="17.6640625" customWidth="1"/>
    <col min="42" max="42" width="20.6640625" customWidth="1"/>
    <col min="43" max="45" width="17.6640625" customWidth="1"/>
    <col min="46" max="46" width="20.6640625" customWidth="1"/>
    <col min="47" max="52" width="17.6640625" customWidth="1"/>
    <col min="53" max="53" width="20.6640625" customWidth="1"/>
    <col min="54" max="56" width="17.6640625" customWidth="1"/>
    <col min="57" max="57" width="20.6640625" customWidth="1"/>
    <col min="58" max="63" width="17.6640625" customWidth="1"/>
    <col min="64" max="64" width="20.6640625" customWidth="1"/>
    <col min="65" max="67" width="17.6640625" customWidth="1"/>
    <col min="68" max="68" width="20.6640625" customWidth="1"/>
    <col min="69" max="74" width="17.6640625" customWidth="1"/>
    <col min="75" max="75" width="20.6640625" customWidth="1"/>
    <col min="76" max="78" width="17.6640625" customWidth="1"/>
    <col min="79" max="79" width="20.6640625" customWidth="1"/>
    <col min="80" max="85" width="17.6640625" customWidth="1"/>
    <col min="86" max="86" width="20.6640625" customWidth="1"/>
    <col min="87" max="89" width="17.6640625" customWidth="1"/>
    <col min="90" max="90" width="20.6640625" customWidth="1"/>
    <col min="91" max="96" width="17.6640625" customWidth="1"/>
    <col min="97" max="97" width="20.6640625" customWidth="1"/>
    <col min="98" max="100" width="17.6640625" customWidth="1"/>
    <col min="101" max="101" width="20.6640625" customWidth="1"/>
    <col min="102" max="107" width="17.6640625" customWidth="1"/>
    <col min="108" max="108" width="20.6640625" customWidth="1"/>
    <col min="109" max="111" width="17.6640625" customWidth="1"/>
    <col min="112" max="112" width="20.6640625" customWidth="1"/>
    <col min="113" max="118" width="17.6640625" customWidth="1"/>
    <col min="119" max="119" width="20.6640625" customWidth="1"/>
    <col min="120" max="122" width="17.6640625" customWidth="1"/>
    <col min="123" max="123" width="20.6640625" customWidth="1"/>
    <col min="124" max="129" width="17.6640625" customWidth="1"/>
    <col min="130" max="130" width="20.6640625" customWidth="1"/>
    <col min="131" max="133" width="17.6640625" customWidth="1"/>
    <col min="134" max="134" width="20.6640625" customWidth="1"/>
    <col min="135" max="140" width="17.6640625" customWidth="1"/>
    <col min="141" max="141" width="20.6640625" customWidth="1"/>
    <col min="142" max="144" width="17.6640625" customWidth="1"/>
    <col min="145" max="145" width="20.6640625" customWidth="1"/>
    <col min="146" max="151" width="17.6640625" customWidth="1"/>
    <col min="152" max="152" width="20.6640625" customWidth="1"/>
    <col min="153" max="155" width="17.6640625" customWidth="1"/>
    <col min="156" max="156" width="20.6640625" customWidth="1"/>
    <col min="157" max="162" width="17.6640625" customWidth="1"/>
    <col min="163" max="163" width="20.6640625" customWidth="1"/>
    <col min="164" max="166" width="17.6640625" customWidth="1"/>
    <col min="167" max="167" width="20.6640625" customWidth="1"/>
    <col min="168" max="173" width="17.6640625" customWidth="1"/>
    <col min="174" max="174" width="20.6640625" customWidth="1"/>
    <col min="175" max="177" width="17.6640625" customWidth="1"/>
    <col min="178" max="178" width="20.6640625" customWidth="1"/>
    <col min="179" max="184" width="17.6640625" customWidth="1"/>
    <col min="185" max="185" width="20.6640625" customWidth="1"/>
    <col min="186" max="188" width="17.6640625" customWidth="1"/>
    <col min="189" max="189" width="20.6640625" customWidth="1"/>
    <col min="190" max="190" width="12.6640625" style="1" customWidth="1"/>
    <col min="191" max="16384" width="9.109375" style="1"/>
  </cols>
  <sheetData>
    <row r="1" spans="2:189" x14ac:dyDescent="0.25">
      <c r="H1" t="s">
        <v>64</v>
      </c>
    </row>
    <row r="2" spans="2:189" x14ac:dyDescent="0.25">
      <c r="H2" t="s">
        <v>62</v>
      </c>
      <c r="I2" t="s">
        <v>63</v>
      </c>
    </row>
    <row r="3" spans="2:189" x14ac:dyDescent="0.25">
      <c r="G3" t="s">
        <v>65</v>
      </c>
      <c r="H3">
        <v>3.7534601870046802</v>
      </c>
      <c r="I3">
        <v>9.8665098282901695</v>
      </c>
    </row>
    <row r="4" spans="2:189" x14ac:dyDescent="0.25">
      <c r="G4" t="s">
        <v>66</v>
      </c>
      <c r="H4">
        <v>-4.9642253137389E-2</v>
      </c>
      <c r="I4">
        <v>-0.23035688661762899</v>
      </c>
    </row>
    <row r="5" spans="2:189" x14ac:dyDescent="0.25">
      <c r="G5" t="s">
        <v>67</v>
      </c>
      <c r="H5">
        <v>29.4589834935596</v>
      </c>
      <c r="I5">
        <v>22.905553824974</v>
      </c>
    </row>
    <row r="6" spans="2:189" ht="13.8" thickBot="1" x14ac:dyDescent="0.3">
      <c r="D6" s="73" t="s">
        <v>62</v>
      </c>
      <c r="E6" s="73" t="s">
        <v>63</v>
      </c>
      <c r="G6" t="s">
        <v>68</v>
      </c>
      <c r="H6" s="79">
        <v>3.4206698276828198E-4</v>
      </c>
      <c r="I6" s="79">
        <v>2.18892905109218E-3</v>
      </c>
      <c r="J6" s="79"/>
      <c r="K6" s="79"/>
      <c r="O6" s="80"/>
      <c r="P6" s="80"/>
      <c r="Q6" s="80" t="s">
        <v>75</v>
      </c>
      <c r="R6" s="80" t="s">
        <v>76</v>
      </c>
      <c r="S6" s="80" t="s">
        <v>77</v>
      </c>
      <c r="T6" s="80" t="s">
        <v>78</v>
      </c>
      <c r="U6" s="80" t="s">
        <v>79</v>
      </c>
      <c r="V6" s="80" t="s">
        <v>80</v>
      </c>
      <c r="W6" s="80" t="s">
        <v>81</v>
      </c>
      <c r="X6" s="80" t="s">
        <v>82</v>
      </c>
      <c r="Y6" s="80" t="s">
        <v>83</v>
      </c>
      <c r="Z6" s="80" t="s">
        <v>84</v>
      </c>
      <c r="AA6" s="80" t="s">
        <v>85</v>
      </c>
      <c r="AB6" s="80" t="s">
        <v>86</v>
      </c>
      <c r="AC6" s="80" t="s">
        <v>87</v>
      </c>
      <c r="AD6" s="80" t="s">
        <v>88</v>
      </c>
      <c r="AE6" s="80" t="s">
        <v>89</v>
      </c>
      <c r="AF6" s="80" t="s">
        <v>90</v>
      </c>
    </row>
    <row r="7" spans="2:189" x14ac:dyDescent="0.25">
      <c r="C7" s="54" t="s">
        <v>25</v>
      </c>
      <c r="D7" s="55">
        <f>1-(G21/H21)</f>
        <v>0.13043478260869557</v>
      </c>
      <c r="E7" s="55">
        <f>1-(G22/H22)</f>
        <v>0.13043478260869557</v>
      </c>
      <c r="F7" s="18"/>
      <c r="G7" t="s">
        <v>69</v>
      </c>
      <c r="H7">
        <v>-11.7705583766926</v>
      </c>
      <c r="I7">
        <v>-2.4886673793444198</v>
      </c>
      <c r="O7" s="80" t="s">
        <v>91</v>
      </c>
      <c r="P7" s="80"/>
      <c r="Q7" s="81">
        <v>0.74258783884784796</v>
      </c>
      <c r="R7" s="81">
        <v>0.74802158439339106</v>
      </c>
      <c r="S7" s="81">
        <v>0.760462414624829</v>
      </c>
      <c r="T7" s="81">
        <v>0.77871032511307992</v>
      </c>
      <c r="U7" s="81">
        <v>0.76263026576338</v>
      </c>
      <c r="V7" s="81">
        <v>0.78899428463865151</v>
      </c>
      <c r="W7" s="81">
        <v>0.79726098181677252</v>
      </c>
      <c r="X7" s="81">
        <v>0.79376606695664853</v>
      </c>
      <c r="Y7" s="81">
        <v>0.78578486102832212</v>
      </c>
      <c r="Z7" s="81">
        <v>0.77735973189289731</v>
      </c>
      <c r="AA7" s="81">
        <v>0.74950864870550848</v>
      </c>
      <c r="AB7" s="81">
        <v>0.76128594707615982</v>
      </c>
      <c r="AC7" s="81">
        <v>0.778807580373999</v>
      </c>
      <c r="AD7" s="81">
        <v>0.77028676461089585</v>
      </c>
      <c r="AE7" s="81">
        <v>0.85</v>
      </c>
      <c r="AF7" s="81">
        <v>0.71039791611687608</v>
      </c>
    </row>
    <row r="8" spans="2:189" x14ac:dyDescent="0.25">
      <c r="C8" s="56" t="s">
        <v>21</v>
      </c>
      <c r="D8" s="72">
        <v>0.05</v>
      </c>
      <c r="E8" s="72">
        <v>0.1</v>
      </c>
      <c r="G8" t="s">
        <v>70</v>
      </c>
      <c r="H8">
        <v>-0.212941092717051</v>
      </c>
      <c r="I8">
        <v>-0.24805151958875801</v>
      </c>
      <c r="O8" s="80" t="s">
        <v>23</v>
      </c>
      <c r="P8" s="80" t="s">
        <v>62</v>
      </c>
      <c r="Q8" s="81">
        <f t="shared" ref="Q8:AF8" si="0">(1-$D$7)*(1-$D$8)*Q7</f>
        <v>0.61344212774387441</v>
      </c>
      <c r="R8" s="81">
        <f t="shared" si="0"/>
        <v>0.61793087406410563</v>
      </c>
      <c r="S8" s="81">
        <f t="shared" si="0"/>
        <v>0.62820808164659792</v>
      </c>
      <c r="T8" s="81">
        <f t="shared" si="0"/>
        <v>0.64328244248471822</v>
      </c>
      <c r="U8" s="81">
        <f t="shared" si="0"/>
        <v>0.62999891519583562</v>
      </c>
      <c r="V8" s="81">
        <f t="shared" si="0"/>
        <v>0.65177788731019037</v>
      </c>
      <c r="W8" s="81">
        <f t="shared" si="0"/>
        <v>0.65860689802255123</v>
      </c>
      <c r="X8" s="81">
        <f t="shared" si="0"/>
        <v>0.65571979444244877</v>
      </c>
      <c r="Y8" s="81">
        <f t="shared" si="0"/>
        <v>0.64912662432774437</v>
      </c>
      <c r="Z8" s="81">
        <f t="shared" si="0"/>
        <v>0.64216673504195865</v>
      </c>
      <c r="AA8" s="81">
        <f t="shared" si="0"/>
        <v>0.61915931849585482</v>
      </c>
      <c r="AB8" s="81">
        <f t="shared" si="0"/>
        <v>0.62888839106291461</v>
      </c>
      <c r="AC8" s="81">
        <f t="shared" si="0"/>
        <v>0.64336278378721656</v>
      </c>
      <c r="AD8" s="81">
        <f t="shared" si="0"/>
        <v>0.63632384902639227</v>
      </c>
      <c r="AE8" s="81">
        <f t="shared" si="0"/>
        <v>0.7021739130434782</v>
      </c>
      <c r="AF8" s="81">
        <f t="shared" si="0"/>
        <v>0.58685045244437595</v>
      </c>
    </row>
    <row r="9" spans="2:189" x14ac:dyDescent="0.25">
      <c r="C9" s="56" t="s">
        <v>22</v>
      </c>
      <c r="D9" s="57">
        <v>0.85</v>
      </c>
      <c r="E9" s="57">
        <v>0.85</v>
      </c>
      <c r="G9" t="s">
        <v>71</v>
      </c>
      <c r="H9" s="79">
        <v>-1.46606221890819E-6</v>
      </c>
      <c r="I9" s="79">
        <v>-7.5749545395087897E-6</v>
      </c>
      <c r="J9" s="79"/>
      <c r="K9" s="79"/>
      <c r="O9" s="80"/>
      <c r="P9" s="80" t="s">
        <v>63</v>
      </c>
      <c r="Q9" s="81">
        <f t="shared" ref="Q9:AF9" si="1">(1-$E$7)*(1-$E$8)*Q7</f>
        <v>0.58115569996788108</v>
      </c>
      <c r="R9" s="81">
        <f t="shared" si="1"/>
        <v>0.58540819648178444</v>
      </c>
      <c r="S9" s="81">
        <f t="shared" si="1"/>
        <v>0.5951444984020402</v>
      </c>
      <c r="T9" s="81">
        <f t="shared" si="1"/>
        <v>0.60942547182762785</v>
      </c>
      <c r="U9" s="81">
        <f t="shared" si="1"/>
        <v>0.59684107755394966</v>
      </c>
      <c r="V9" s="81">
        <f t="shared" si="1"/>
        <v>0.61747378797807517</v>
      </c>
      <c r="W9" s="81">
        <f t="shared" si="1"/>
        <v>0.62394337707399605</v>
      </c>
      <c r="X9" s="81">
        <f t="shared" si="1"/>
        <v>0.62120822631389894</v>
      </c>
      <c r="Y9" s="81">
        <f t="shared" si="1"/>
        <v>0.61496206515259999</v>
      </c>
      <c r="Z9" s="81">
        <f t="shared" si="1"/>
        <v>0.60836848582922409</v>
      </c>
      <c r="AA9" s="81">
        <f t="shared" si="1"/>
        <v>0.58657198594344151</v>
      </c>
      <c r="AB9" s="81">
        <f t="shared" si="1"/>
        <v>0.5957890020596035</v>
      </c>
      <c r="AC9" s="81">
        <f t="shared" si="1"/>
        <v>0.60950158464052107</v>
      </c>
      <c r="AD9" s="81">
        <f t="shared" si="1"/>
        <v>0.60283312013026646</v>
      </c>
      <c r="AE9" s="81">
        <f t="shared" si="1"/>
        <v>0.66521739130434798</v>
      </c>
      <c r="AF9" s="81">
        <f t="shared" si="1"/>
        <v>0.555963586526251</v>
      </c>
    </row>
    <row r="10" spans="2:189" x14ac:dyDescent="0.25">
      <c r="C10" s="56" t="s">
        <v>23</v>
      </c>
      <c r="D10" s="72">
        <f>(1-D7)*(1-D8)*D9</f>
        <v>0.7021739130434782</v>
      </c>
      <c r="E10" s="72">
        <f>(1-E7)*(1-E8)*E9</f>
        <v>0.66521739130434798</v>
      </c>
      <c r="G10" t="s">
        <v>72</v>
      </c>
      <c r="H10">
        <v>6.8017013390607497</v>
      </c>
      <c r="I10">
        <v>2.0360624862392398</v>
      </c>
      <c r="O10" s="80" t="s">
        <v>30</v>
      </c>
      <c r="P10" s="82" t="s">
        <v>62</v>
      </c>
      <c r="Q10" s="82">
        <f t="shared" ref="Q10:AF10" si="2">Q8*$D$11</f>
        <v>2889.3124216736483</v>
      </c>
      <c r="R10" s="82">
        <f t="shared" si="2"/>
        <v>2910.4544168419375</v>
      </c>
      <c r="S10" s="82">
        <f t="shared" si="2"/>
        <v>2958.8600645554761</v>
      </c>
      <c r="T10" s="82">
        <f t="shared" si="2"/>
        <v>3029.8603041030228</v>
      </c>
      <c r="U10" s="82">
        <f t="shared" si="2"/>
        <v>2967.2948905723856</v>
      </c>
      <c r="V10" s="82">
        <f t="shared" si="2"/>
        <v>3069.8738492309967</v>
      </c>
      <c r="W10" s="82">
        <f t="shared" si="2"/>
        <v>3102.0384896862165</v>
      </c>
      <c r="X10" s="82">
        <f t="shared" si="2"/>
        <v>3088.4402318239336</v>
      </c>
      <c r="Y10" s="82">
        <f t="shared" si="2"/>
        <v>3057.3864005836758</v>
      </c>
      <c r="Z10" s="82">
        <f t="shared" si="2"/>
        <v>3024.6053220476251</v>
      </c>
      <c r="AA10" s="82">
        <f t="shared" si="2"/>
        <v>2916.2403901154762</v>
      </c>
      <c r="AB10" s="82">
        <f t="shared" si="2"/>
        <v>2962.0643219063277</v>
      </c>
      <c r="AC10" s="82">
        <f t="shared" si="2"/>
        <v>3030.2387116377899</v>
      </c>
      <c r="AD10" s="82">
        <f t="shared" si="2"/>
        <v>2997.0853289143074</v>
      </c>
      <c r="AE10" s="82">
        <f t="shared" si="2"/>
        <v>3307.2391304347825</v>
      </c>
      <c r="AF10" s="82">
        <f t="shared" si="2"/>
        <v>2764.0656310130107</v>
      </c>
    </row>
    <row r="11" spans="2:189" x14ac:dyDescent="0.25">
      <c r="C11" s="56" t="s">
        <v>24</v>
      </c>
      <c r="D11" s="58">
        <v>4710</v>
      </c>
      <c r="E11" s="58">
        <v>4710</v>
      </c>
      <c r="G11" t="s">
        <v>73</v>
      </c>
      <c r="H11" s="79">
        <v>-2.0187240339535999E-2</v>
      </c>
      <c r="I11" s="79">
        <v>-2.1477433189667602E-2</v>
      </c>
      <c r="J11" s="79"/>
      <c r="K11" s="79"/>
      <c r="O11" s="80"/>
      <c r="P11" s="82" t="s">
        <v>63</v>
      </c>
      <c r="Q11" s="82">
        <f t="shared" ref="Q11:AF11" si="3">Q9*$E$11</f>
        <v>2737.2433468487197</v>
      </c>
      <c r="R11" s="82">
        <f t="shared" si="3"/>
        <v>2757.2726054292048</v>
      </c>
      <c r="S11" s="82">
        <f t="shared" si="3"/>
        <v>2803.1305874736095</v>
      </c>
      <c r="T11" s="82">
        <f t="shared" si="3"/>
        <v>2870.3939723081271</v>
      </c>
      <c r="U11" s="82">
        <f t="shared" si="3"/>
        <v>2811.1214752791029</v>
      </c>
      <c r="V11" s="82">
        <f t="shared" si="3"/>
        <v>2908.3015413767339</v>
      </c>
      <c r="W11" s="82">
        <f t="shared" si="3"/>
        <v>2938.7733060185215</v>
      </c>
      <c r="X11" s="82">
        <f t="shared" si="3"/>
        <v>2925.8907459384641</v>
      </c>
      <c r="Y11" s="82">
        <f t="shared" si="3"/>
        <v>2896.471326868746</v>
      </c>
      <c r="Z11" s="82">
        <f t="shared" si="3"/>
        <v>2865.4155682556457</v>
      </c>
      <c r="AA11" s="82">
        <f t="shared" si="3"/>
        <v>2762.7540537936097</v>
      </c>
      <c r="AB11" s="82">
        <f t="shared" si="3"/>
        <v>2806.1661997007327</v>
      </c>
      <c r="AC11" s="82">
        <f t="shared" si="3"/>
        <v>2870.7524636568542</v>
      </c>
      <c r="AD11" s="82">
        <f t="shared" si="3"/>
        <v>2839.343995813555</v>
      </c>
      <c r="AE11" s="82">
        <f t="shared" si="3"/>
        <v>3133.1739130434789</v>
      </c>
      <c r="AF11" s="82">
        <f t="shared" si="3"/>
        <v>2618.5884925386422</v>
      </c>
    </row>
    <row r="12" spans="2:189" ht="13.8" thickBot="1" x14ac:dyDescent="0.3">
      <c r="C12" s="59" t="s">
        <v>30</v>
      </c>
      <c r="D12" s="60">
        <f>D11*D10</f>
        <v>3307.2391304347825</v>
      </c>
      <c r="E12" s="60">
        <f>E11*E10</f>
        <v>3133.1739130434789</v>
      </c>
      <c r="G12" t="s">
        <v>74</v>
      </c>
      <c r="H12" s="79">
        <v>6.5794121333582795E-4</v>
      </c>
      <c r="I12" s="79">
        <v>9.3830551802025197E-4</v>
      </c>
      <c r="J12" s="79"/>
      <c r="K12" s="79"/>
    </row>
    <row r="13" spans="2:189" ht="13.8" thickBot="1" x14ac:dyDescent="0.3"/>
    <row r="14" spans="2:189" ht="33" customHeight="1" thickTop="1" x14ac:dyDescent="0.25">
      <c r="B14" s="269" t="s">
        <v>1</v>
      </c>
      <c r="C14" s="272" t="s">
        <v>13</v>
      </c>
      <c r="D14" s="272" t="s">
        <v>14</v>
      </c>
      <c r="E14" s="274" t="s">
        <v>6</v>
      </c>
      <c r="F14" s="274" t="s">
        <v>7</v>
      </c>
      <c r="G14" s="274" t="s">
        <v>26</v>
      </c>
      <c r="H14" s="274" t="s">
        <v>27</v>
      </c>
      <c r="I14" s="274" t="s">
        <v>28</v>
      </c>
      <c r="J14" s="274" t="s">
        <v>124</v>
      </c>
      <c r="K14" s="274" t="s">
        <v>123</v>
      </c>
      <c r="L14" s="282" t="s">
        <v>29</v>
      </c>
      <c r="M14" s="282" t="s">
        <v>92</v>
      </c>
      <c r="N14" s="276" t="s">
        <v>35</v>
      </c>
      <c r="O14" s="277"/>
      <c r="P14" s="277"/>
      <c r="Q14" s="277"/>
      <c r="R14" s="277"/>
      <c r="S14" s="277"/>
      <c r="T14" s="277"/>
      <c r="U14" s="277"/>
      <c r="V14" s="277"/>
      <c r="W14" s="277"/>
      <c r="X14" s="278"/>
      <c r="Y14" s="276" t="s">
        <v>36</v>
      </c>
      <c r="Z14" s="277"/>
      <c r="AA14" s="277"/>
      <c r="AB14" s="277"/>
      <c r="AC14" s="277"/>
      <c r="AD14" s="277"/>
      <c r="AE14" s="277"/>
      <c r="AF14" s="277"/>
      <c r="AG14" s="277"/>
      <c r="AH14" s="277"/>
      <c r="AI14" s="278"/>
      <c r="AJ14" s="276" t="s">
        <v>37</v>
      </c>
      <c r="AK14" s="277"/>
      <c r="AL14" s="277"/>
      <c r="AM14" s="277"/>
      <c r="AN14" s="277"/>
      <c r="AO14" s="277"/>
      <c r="AP14" s="277"/>
      <c r="AQ14" s="277"/>
      <c r="AR14" s="277"/>
      <c r="AS14" s="277"/>
      <c r="AT14" s="278"/>
      <c r="AU14" s="284" t="s">
        <v>38</v>
      </c>
      <c r="AV14" s="285"/>
      <c r="AW14" s="285"/>
      <c r="AX14" s="285"/>
      <c r="AY14" s="285"/>
      <c r="AZ14" s="285"/>
      <c r="BA14" s="285"/>
      <c r="BB14" s="285"/>
      <c r="BC14" s="285"/>
      <c r="BD14" s="285"/>
      <c r="BE14" s="278"/>
      <c r="BF14" s="284" t="s">
        <v>39</v>
      </c>
      <c r="BG14" s="285"/>
      <c r="BH14" s="285"/>
      <c r="BI14" s="285"/>
      <c r="BJ14" s="285"/>
      <c r="BK14" s="285"/>
      <c r="BL14" s="285"/>
      <c r="BM14" s="285"/>
      <c r="BN14" s="285"/>
      <c r="BO14" s="285"/>
      <c r="BP14" s="278"/>
      <c r="BQ14" s="288" t="s">
        <v>227</v>
      </c>
      <c r="BR14" s="289"/>
      <c r="BS14" s="289"/>
      <c r="BT14" s="289"/>
      <c r="BU14" s="289"/>
      <c r="BV14" s="289"/>
      <c r="BW14" s="289"/>
      <c r="BX14" s="289"/>
      <c r="BY14" s="289"/>
      <c r="BZ14" s="289"/>
      <c r="CA14" s="290"/>
      <c r="CB14" s="284" t="s">
        <v>40</v>
      </c>
      <c r="CC14" s="285"/>
      <c r="CD14" s="285"/>
      <c r="CE14" s="285"/>
      <c r="CF14" s="285"/>
      <c r="CG14" s="285"/>
      <c r="CH14" s="285"/>
      <c r="CI14" s="285"/>
      <c r="CJ14" s="285"/>
      <c r="CK14" s="285"/>
      <c r="CL14" s="278"/>
      <c r="CM14" s="284" t="s">
        <v>228</v>
      </c>
      <c r="CN14" s="285"/>
      <c r="CO14" s="285"/>
      <c r="CP14" s="285"/>
      <c r="CQ14" s="285"/>
      <c r="CR14" s="285"/>
      <c r="CS14" s="285"/>
      <c r="CT14" s="285"/>
      <c r="CU14" s="285"/>
      <c r="CV14" s="285"/>
      <c r="CW14" s="278"/>
      <c r="CX14" s="284" t="s">
        <v>229</v>
      </c>
      <c r="CY14" s="285"/>
      <c r="CZ14" s="285"/>
      <c r="DA14" s="285"/>
      <c r="DB14" s="285"/>
      <c r="DC14" s="285"/>
      <c r="DD14" s="285"/>
      <c r="DE14" s="285"/>
      <c r="DF14" s="285"/>
      <c r="DG14" s="285"/>
      <c r="DH14" s="278"/>
      <c r="DI14" s="288" t="s">
        <v>41</v>
      </c>
      <c r="DJ14" s="289"/>
      <c r="DK14" s="289"/>
      <c r="DL14" s="289"/>
      <c r="DM14" s="289"/>
      <c r="DN14" s="289"/>
      <c r="DO14" s="289"/>
      <c r="DP14" s="289"/>
      <c r="DQ14" s="289"/>
      <c r="DR14" s="289"/>
      <c r="DS14" s="290"/>
      <c r="DT14" s="284" t="s">
        <v>42</v>
      </c>
      <c r="DU14" s="285"/>
      <c r="DV14" s="285"/>
      <c r="DW14" s="285"/>
      <c r="DX14" s="285"/>
      <c r="DY14" s="285"/>
      <c r="DZ14" s="285"/>
      <c r="EA14" s="285"/>
      <c r="EB14" s="285"/>
      <c r="EC14" s="285"/>
      <c r="ED14" s="278"/>
      <c r="EE14" s="284" t="s">
        <v>43</v>
      </c>
      <c r="EF14" s="285"/>
      <c r="EG14" s="285"/>
      <c r="EH14" s="285"/>
      <c r="EI14" s="285"/>
      <c r="EJ14" s="285"/>
      <c r="EK14" s="285"/>
      <c r="EL14" s="285"/>
      <c r="EM14" s="285"/>
      <c r="EN14" s="285"/>
      <c r="EO14" s="278"/>
      <c r="EP14" s="288" t="s">
        <v>44</v>
      </c>
      <c r="EQ14" s="289"/>
      <c r="ER14" s="289"/>
      <c r="ES14" s="289"/>
      <c r="ET14" s="289"/>
      <c r="EU14" s="289"/>
      <c r="EV14" s="289"/>
      <c r="EW14" s="289"/>
      <c r="EX14" s="289"/>
      <c r="EY14" s="289"/>
      <c r="EZ14" s="290"/>
      <c r="FA14" s="288" t="s">
        <v>230</v>
      </c>
      <c r="FB14" s="289"/>
      <c r="FC14" s="289"/>
      <c r="FD14" s="289"/>
      <c r="FE14" s="289"/>
      <c r="FF14" s="289"/>
      <c r="FG14" s="289"/>
      <c r="FH14" s="289"/>
      <c r="FI14" s="289"/>
      <c r="FJ14" s="289"/>
      <c r="FK14" s="290"/>
      <c r="FL14" s="288" t="s">
        <v>231</v>
      </c>
      <c r="FM14" s="289"/>
      <c r="FN14" s="289"/>
      <c r="FO14" s="289"/>
      <c r="FP14" s="289"/>
      <c r="FQ14" s="289"/>
      <c r="FR14" s="289"/>
      <c r="FS14" s="289"/>
      <c r="FT14" s="289"/>
      <c r="FU14" s="289"/>
      <c r="FV14" s="290"/>
      <c r="FW14" s="288" t="s">
        <v>232</v>
      </c>
      <c r="FX14" s="289"/>
      <c r="FY14" s="289"/>
      <c r="FZ14" s="289"/>
      <c r="GA14" s="289"/>
      <c r="GB14" s="289"/>
      <c r="GC14" s="289"/>
      <c r="GD14" s="289"/>
      <c r="GE14" s="289"/>
      <c r="GF14" s="289"/>
      <c r="GG14" s="290"/>
    </row>
    <row r="15" spans="2:189" ht="45" customHeight="1" x14ac:dyDescent="0.25">
      <c r="B15" s="270"/>
      <c r="C15" s="273"/>
      <c r="D15" s="273"/>
      <c r="E15" s="275"/>
      <c r="F15" s="275"/>
      <c r="G15" s="275"/>
      <c r="H15" s="275"/>
      <c r="I15" s="275"/>
      <c r="J15" s="275"/>
      <c r="K15" s="275"/>
      <c r="L15" s="283"/>
      <c r="M15" s="283"/>
      <c r="N15" s="279"/>
      <c r="O15" s="280"/>
      <c r="P15" s="280"/>
      <c r="Q15" s="280"/>
      <c r="R15" s="280"/>
      <c r="S15" s="280"/>
      <c r="T15" s="280"/>
      <c r="U15" s="280"/>
      <c r="V15" s="280"/>
      <c r="W15" s="280"/>
      <c r="X15" s="281"/>
      <c r="Y15" s="279"/>
      <c r="Z15" s="280"/>
      <c r="AA15" s="280"/>
      <c r="AB15" s="280"/>
      <c r="AC15" s="280"/>
      <c r="AD15" s="280"/>
      <c r="AE15" s="280"/>
      <c r="AF15" s="280"/>
      <c r="AG15" s="280"/>
      <c r="AH15" s="280"/>
      <c r="AI15" s="281"/>
      <c r="AJ15" s="279"/>
      <c r="AK15" s="280"/>
      <c r="AL15" s="280"/>
      <c r="AM15" s="280"/>
      <c r="AN15" s="280"/>
      <c r="AO15" s="280"/>
      <c r="AP15" s="280"/>
      <c r="AQ15" s="280"/>
      <c r="AR15" s="280"/>
      <c r="AS15" s="280"/>
      <c r="AT15" s="281"/>
      <c r="AU15" s="286"/>
      <c r="AV15" s="287"/>
      <c r="AW15" s="287"/>
      <c r="AX15" s="287"/>
      <c r="AY15" s="287"/>
      <c r="AZ15" s="287"/>
      <c r="BA15" s="287"/>
      <c r="BB15" s="287"/>
      <c r="BC15" s="287"/>
      <c r="BD15" s="287"/>
      <c r="BE15" s="281"/>
      <c r="BF15" s="286"/>
      <c r="BG15" s="287"/>
      <c r="BH15" s="287"/>
      <c r="BI15" s="287"/>
      <c r="BJ15" s="287"/>
      <c r="BK15" s="287"/>
      <c r="BL15" s="287"/>
      <c r="BM15" s="287"/>
      <c r="BN15" s="287"/>
      <c r="BO15" s="287"/>
      <c r="BP15" s="281"/>
      <c r="BQ15" s="291"/>
      <c r="BR15" s="292"/>
      <c r="BS15" s="292"/>
      <c r="BT15" s="292"/>
      <c r="BU15" s="292"/>
      <c r="BV15" s="292"/>
      <c r="BW15" s="292"/>
      <c r="BX15" s="292"/>
      <c r="BY15" s="292"/>
      <c r="BZ15" s="292"/>
      <c r="CA15" s="293"/>
      <c r="CB15" s="286"/>
      <c r="CC15" s="287"/>
      <c r="CD15" s="287"/>
      <c r="CE15" s="287"/>
      <c r="CF15" s="287"/>
      <c r="CG15" s="287"/>
      <c r="CH15" s="287"/>
      <c r="CI15" s="287"/>
      <c r="CJ15" s="287"/>
      <c r="CK15" s="287"/>
      <c r="CL15" s="281"/>
      <c r="CM15" s="286"/>
      <c r="CN15" s="287"/>
      <c r="CO15" s="287"/>
      <c r="CP15" s="287"/>
      <c r="CQ15" s="287"/>
      <c r="CR15" s="287"/>
      <c r="CS15" s="287"/>
      <c r="CT15" s="287"/>
      <c r="CU15" s="287"/>
      <c r="CV15" s="287"/>
      <c r="CW15" s="281"/>
      <c r="CX15" s="286"/>
      <c r="CY15" s="287"/>
      <c r="CZ15" s="287"/>
      <c r="DA15" s="287"/>
      <c r="DB15" s="287"/>
      <c r="DC15" s="287"/>
      <c r="DD15" s="287"/>
      <c r="DE15" s="287"/>
      <c r="DF15" s="287"/>
      <c r="DG15" s="287"/>
      <c r="DH15" s="281"/>
      <c r="DI15" s="291"/>
      <c r="DJ15" s="292"/>
      <c r="DK15" s="292"/>
      <c r="DL15" s="292"/>
      <c r="DM15" s="292"/>
      <c r="DN15" s="292"/>
      <c r="DO15" s="292"/>
      <c r="DP15" s="292"/>
      <c r="DQ15" s="292"/>
      <c r="DR15" s="292"/>
      <c r="DS15" s="293"/>
      <c r="DT15" s="286"/>
      <c r="DU15" s="287"/>
      <c r="DV15" s="287"/>
      <c r="DW15" s="287"/>
      <c r="DX15" s="287"/>
      <c r="DY15" s="287"/>
      <c r="DZ15" s="287"/>
      <c r="EA15" s="287"/>
      <c r="EB15" s="287"/>
      <c r="EC15" s="287"/>
      <c r="ED15" s="281"/>
      <c r="EE15" s="286"/>
      <c r="EF15" s="287"/>
      <c r="EG15" s="287"/>
      <c r="EH15" s="287"/>
      <c r="EI15" s="287"/>
      <c r="EJ15" s="287"/>
      <c r="EK15" s="287"/>
      <c r="EL15" s="287"/>
      <c r="EM15" s="287"/>
      <c r="EN15" s="287"/>
      <c r="EO15" s="281"/>
      <c r="EP15" s="291"/>
      <c r="EQ15" s="292"/>
      <c r="ER15" s="292"/>
      <c r="ES15" s="292"/>
      <c r="ET15" s="292"/>
      <c r="EU15" s="292"/>
      <c r="EV15" s="292"/>
      <c r="EW15" s="292"/>
      <c r="EX15" s="292"/>
      <c r="EY15" s="292"/>
      <c r="EZ15" s="293"/>
      <c r="FA15" s="291"/>
      <c r="FB15" s="292"/>
      <c r="FC15" s="292"/>
      <c r="FD15" s="292"/>
      <c r="FE15" s="292"/>
      <c r="FF15" s="292"/>
      <c r="FG15" s="292"/>
      <c r="FH15" s="292"/>
      <c r="FI15" s="292"/>
      <c r="FJ15" s="292"/>
      <c r="FK15" s="293"/>
      <c r="FL15" s="291"/>
      <c r="FM15" s="292"/>
      <c r="FN15" s="292"/>
      <c r="FO15" s="292"/>
      <c r="FP15" s="292"/>
      <c r="FQ15" s="292"/>
      <c r="FR15" s="292"/>
      <c r="FS15" s="292"/>
      <c r="FT15" s="292"/>
      <c r="FU15" s="292"/>
      <c r="FV15" s="293"/>
      <c r="FW15" s="291"/>
      <c r="FX15" s="292"/>
      <c r="FY15" s="292"/>
      <c r="FZ15" s="292"/>
      <c r="GA15" s="292"/>
      <c r="GB15" s="292"/>
      <c r="GC15" s="292"/>
      <c r="GD15" s="292"/>
      <c r="GE15" s="292"/>
      <c r="GF15" s="292"/>
      <c r="GG15" s="293"/>
    </row>
    <row r="16" spans="2:189" ht="31.2" x14ac:dyDescent="0.3">
      <c r="B16" s="270"/>
      <c r="C16" s="273"/>
      <c r="D16" s="273"/>
      <c r="E16" s="275"/>
      <c r="F16" s="275"/>
      <c r="G16" s="275"/>
      <c r="H16" s="275"/>
      <c r="I16" s="275"/>
      <c r="J16" s="275"/>
      <c r="K16" s="275"/>
      <c r="L16" s="283"/>
      <c r="M16" s="283"/>
      <c r="N16" s="50" t="s">
        <v>8</v>
      </c>
      <c r="O16" s="51" t="s">
        <v>32</v>
      </c>
      <c r="P16" s="118" t="s">
        <v>31</v>
      </c>
      <c r="Q16" s="51" t="s">
        <v>33</v>
      </c>
      <c r="R16" s="158" t="s">
        <v>34</v>
      </c>
      <c r="S16" s="51" t="s">
        <v>3</v>
      </c>
      <c r="T16" s="10" t="s">
        <v>15</v>
      </c>
      <c r="U16" s="10" t="s">
        <v>18</v>
      </c>
      <c r="V16" s="10" t="s">
        <v>19</v>
      </c>
      <c r="W16" s="10" t="s">
        <v>2</v>
      </c>
      <c r="X16" s="38" t="s">
        <v>20</v>
      </c>
      <c r="Y16" s="37" t="s">
        <v>8</v>
      </c>
      <c r="Z16" s="10" t="s">
        <v>32</v>
      </c>
      <c r="AA16" s="117" t="s">
        <v>31</v>
      </c>
      <c r="AB16" s="10" t="s">
        <v>33</v>
      </c>
      <c r="AC16" s="177" t="s">
        <v>34</v>
      </c>
      <c r="AD16" s="10" t="s">
        <v>3</v>
      </c>
      <c r="AE16" s="10" t="s">
        <v>15</v>
      </c>
      <c r="AF16" s="10" t="s">
        <v>18</v>
      </c>
      <c r="AG16" s="10" t="s">
        <v>19</v>
      </c>
      <c r="AH16" s="10" t="s">
        <v>2</v>
      </c>
      <c r="AI16" s="38" t="s">
        <v>20</v>
      </c>
      <c r="AJ16" s="37" t="s">
        <v>8</v>
      </c>
      <c r="AK16" s="10" t="s">
        <v>32</v>
      </c>
      <c r="AL16" s="117" t="s">
        <v>31</v>
      </c>
      <c r="AM16" s="10" t="s">
        <v>33</v>
      </c>
      <c r="AN16" s="177" t="s">
        <v>34</v>
      </c>
      <c r="AO16" s="10" t="s">
        <v>3</v>
      </c>
      <c r="AP16" s="10" t="s">
        <v>15</v>
      </c>
      <c r="AQ16" s="10" t="s">
        <v>18</v>
      </c>
      <c r="AR16" s="10" t="s">
        <v>19</v>
      </c>
      <c r="AS16" s="10" t="s">
        <v>2</v>
      </c>
      <c r="AT16" s="38" t="s">
        <v>20</v>
      </c>
      <c r="AU16" s="37" t="s">
        <v>8</v>
      </c>
      <c r="AV16" s="10" t="s">
        <v>32</v>
      </c>
      <c r="AW16" s="117" t="s">
        <v>31</v>
      </c>
      <c r="AX16" s="10" t="s">
        <v>33</v>
      </c>
      <c r="AY16" s="177" t="s">
        <v>34</v>
      </c>
      <c r="AZ16" s="10" t="s">
        <v>3</v>
      </c>
      <c r="BA16" s="10" t="s">
        <v>15</v>
      </c>
      <c r="BB16" s="10" t="s">
        <v>18</v>
      </c>
      <c r="BC16" s="10" t="s">
        <v>19</v>
      </c>
      <c r="BD16" s="10" t="s">
        <v>2</v>
      </c>
      <c r="BE16" s="38" t="s">
        <v>20</v>
      </c>
      <c r="BF16" s="37" t="s">
        <v>8</v>
      </c>
      <c r="BG16" s="10" t="s">
        <v>32</v>
      </c>
      <c r="BH16" s="117" t="s">
        <v>31</v>
      </c>
      <c r="BI16" s="10" t="s">
        <v>33</v>
      </c>
      <c r="BJ16" s="177" t="s">
        <v>34</v>
      </c>
      <c r="BK16" s="10" t="s">
        <v>3</v>
      </c>
      <c r="BL16" s="10" t="s">
        <v>15</v>
      </c>
      <c r="BM16" s="10" t="s">
        <v>18</v>
      </c>
      <c r="BN16" s="10" t="s">
        <v>19</v>
      </c>
      <c r="BO16" s="10" t="s">
        <v>2</v>
      </c>
      <c r="BP16" s="38" t="s">
        <v>20</v>
      </c>
      <c r="BQ16" s="37" t="s">
        <v>8</v>
      </c>
      <c r="BR16" s="10" t="s">
        <v>32</v>
      </c>
      <c r="BS16" s="117" t="s">
        <v>31</v>
      </c>
      <c r="BT16" s="10" t="s">
        <v>33</v>
      </c>
      <c r="BU16" s="177" t="s">
        <v>34</v>
      </c>
      <c r="BV16" s="10" t="s">
        <v>3</v>
      </c>
      <c r="BW16" s="10" t="s">
        <v>15</v>
      </c>
      <c r="BX16" s="10" t="s">
        <v>18</v>
      </c>
      <c r="BY16" s="10" t="s">
        <v>19</v>
      </c>
      <c r="BZ16" s="10" t="s">
        <v>2</v>
      </c>
      <c r="CA16" s="38" t="s">
        <v>20</v>
      </c>
      <c r="CB16" s="37" t="s">
        <v>8</v>
      </c>
      <c r="CC16" s="10" t="s">
        <v>32</v>
      </c>
      <c r="CD16" s="117" t="s">
        <v>31</v>
      </c>
      <c r="CE16" s="10" t="s">
        <v>33</v>
      </c>
      <c r="CF16" s="177" t="s">
        <v>34</v>
      </c>
      <c r="CG16" s="10" t="s">
        <v>3</v>
      </c>
      <c r="CH16" s="10" t="s">
        <v>15</v>
      </c>
      <c r="CI16" s="10" t="s">
        <v>18</v>
      </c>
      <c r="CJ16" s="10" t="s">
        <v>19</v>
      </c>
      <c r="CK16" s="10" t="s">
        <v>2</v>
      </c>
      <c r="CL16" s="38" t="s">
        <v>20</v>
      </c>
      <c r="CM16" s="37" t="s">
        <v>8</v>
      </c>
      <c r="CN16" s="10" t="s">
        <v>32</v>
      </c>
      <c r="CO16" s="117" t="s">
        <v>31</v>
      </c>
      <c r="CP16" s="10" t="s">
        <v>33</v>
      </c>
      <c r="CQ16" s="177" t="s">
        <v>34</v>
      </c>
      <c r="CR16" s="10" t="s">
        <v>3</v>
      </c>
      <c r="CS16" s="10" t="s">
        <v>15</v>
      </c>
      <c r="CT16" s="10" t="s">
        <v>18</v>
      </c>
      <c r="CU16" s="10" t="s">
        <v>19</v>
      </c>
      <c r="CV16" s="10" t="s">
        <v>2</v>
      </c>
      <c r="CW16" s="38" t="s">
        <v>20</v>
      </c>
      <c r="CX16" s="37" t="s">
        <v>8</v>
      </c>
      <c r="CY16" s="10" t="s">
        <v>32</v>
      </c>
      <c r="CZ16" s="117" t="s">
        <v>31</v>
      </c>
      <c r="DA16" s="10" t="s">
        <v>33</v>
      </c>
      <c r="DB16" s="177" t="s">
        <v>34</v>
      </c>
      <c r="DC16" s="10" t="s">
        <v>3</v>
      </c>
      <c r="DD16" s="10" t="s">
        <v>15</v>
      </c>
      <c r="DE16" s="10" t="s">
        <v>18</v>
      </c>
      <c r="DF16" s="10" t="s">
        <v>19</v>
      </c>
      <c r="DG16" s="10" t="s">
        <v>2</v>
      </c>
      <c r="DH16" s="38" t="s">
        <v>20</v>
      </c>
      <c r="DI16" s="37" t="s">
        <v>8</v>
      </c>
      <c r="DJ16" s="10" t="s">
        <v>32</v>
      </c>
      <c r="DK16" s="117" t="s">
        <v>31</v>
      </c>
      <c r="DL16" s="10" t="s">
        <v>33</v>
      </c>
      <c r="DM16" s="177" t="s">
        <v>34</v>
      </c>
      <c r="DN16" s="10" t="s">
        <v>3</v>
      </c>
      <c r="DO16" s="10" t="s">
        <v>15</v>
      </c>
      <c r="DP16" s="10" t="s">
        <v>18</v>
      </c>
      <c r="DQ16" s="10" t="s">
        <v>19</v>
      </c>
      <c r="DR16" s="10" t="s">
        <v>2</v>
      </c>
      <c r="DS16" s="38" t="s">
        <v>20</v>
      </c>
      <c r="DT16" s="37" t="s">
        <v>8</v>
      </c>
      <c r="DU16" s="10" t="s">
        <v>32</v>
      </c>
      <c r="DV16" s="117" t="s">
        <v>31</v>
      </c>
      <c r="DW16" s="10" t="s">
        <v>33</v>
      </c>
      <c r="DX16" s="177" t="s">
        <v>34</v>
      </c>
      <c r="DY16" s="10" t="s">
        <v>3</v>
      </c>
      <c r="DZ16" s="10" t="s">
        <v>15</v>
      </c>
      <c r="EA16" s="10" t="s">
        <v>18</v>
      </c>
      <c r="EB16" s="10" t="s">
        <v>19</v>
      </c>
      <c r="EC16" s="10" t="s">
        <v>2</v>
      </c>
      <c r="ED16" s="38" t="s">
        <v>20</v>
      </c>
      <c r="EE16" s="37" t="s">
        <v>8</v>
      </c>
      <c r="EF16" s="10" t="s">
        <v>32</v>
      </c>
      <c r="EG16" s="117" t="s">
        <v>31</v>
      </c>
      <c r="EH16" s="10" t="s">
        <v>33</v>
      </c>
      <c r="EI16" s="177" t="s">
        <v>34</v>
      </c>
      <c r="EJ16" s="10" t="s">
        <v>3</v>
      </c>
      <c r="EK16" s="10" t="s">
        <v>15</v>
      </c>
      <c r="EL16" s="10" t="s">
        <v>18</v>
      </c>
      <c r="EM16" s="10" t="s">
        <v>19</v>
      </c>
      <c r="EN16" s="10" t="s">
        <v>2</v>
      </c>
      <c r="EO16" s="38" t="s">
        <v>20</v>
      </c>
      <c r="EP16" s="37" t="s">
        <v>8</v>
      </c>
      <c r="EQ16" s="10" t="s">
        <v>32</v>
      </c>
      <c r="ER16" s="117" t="s">
        <v>31</v>
      </c>
      <c r="ES16" s="10" t="s">
        <v>33</v>
      </c>
      <c r="ET16" s="177" t="s">
        <v>34</v>
      </c>
      <c r="EU16" s="10" t="s">
        <v>3</v>
      </c>
      <c r="EV16" s="10" t="s">
        <v>15</v>
      </c>
      <c r="EW16" s="10" t="s">
        <v>18</v>
      </c>
      <c r="EX16" s="10" t="s">
        <v>19</v>
      </c>
      <c r="EY16" s="10" t="s">
        <v>2</v>
      </c>
      <c r="EZ16" s="38" t="s">
        <v>20</v>
      </c>
      <c r="FA16" s="37" t="s">
        <v>8</v>
      </c>
      <c r="FB16" s="10" t="s">
        <v>32</v>
      </c>
      <c r="FC16" s="117" t="s">
        <v>31</v>
      </c>
      <c r="FD16" s="10" t="s">
        <v>33</v>
      </c>
      <c r="FE16" s="177" t="s">
        <v>34</v>
      </c>
      <c r="FF16" s="10" t="s">
        <v>3</v>
      </c>
      <c r="FG16" s="10" t="s">
        <v>15</v>
      </c>
      <c r="FH16" s="10" t="s">
        <v>18</v>
      </c>
      <c r="FI16" s="10" t="s">
        <v>19</v>
      </c>
      <c r="FJ16" s="10" t="s">
        <v>2</v>
      </c>
      <c r="FK16" s="38" t="s">
        <v>20</v>
      </c>
      <c r="FL16" s="37" t="s">
        <v>8</v>
      </c>
      <c r="FM16" s="10" t="s">
        <v>32</v>
      </c>
      <c r="FN16" s="117" t="s">
        <v>31</v>
      </c>
      <c r="FO16" s="10" t="s">
        <v>33</v>
      </c>
      <c r="FP16" s="177" t="s">
        <v>34</v>
      </c>
      <c r="FQ16" s="10" t="s">
        <v>3</v>
      </c>
      <c r="FR16" s="10" t="s">
        <v>15</v>
      </c>
      <c r="FS16" s="10" t="s">
        <v>18</v>
      </c>
      <c r="FT16" s="10" t="s">
        <v>19</v>
      </c>
      <c r="FU16" s="10" t="s">
        <v>2</v>
      </c>
      <c r="FV16" s="38" t="s">
        <v>20</v>
      </c>
      <c r="FW16" s="37" t="s">
        <v>8</v>
      </c>
      <c r="FX16" s="10" t="s">
        <v>32</v>
      </c>
      <c r="FY16" s="117" t="s">
        <v>31</v>
      </c>
      <c r="FZ16" s="10" t="s">
        <v>33</v>
      </c>
      <c r="GA16" s="177" t="s">
        <v>34</v>
      </c>
      <c r="GB16" s="10" t="s">
        <v>3</v>
      </c>
      <c r="GC16" s="10" t="s">
        <v>15</v>
      </c>
      <c r="GD16" s="10" t="s">
        <v>18</v>
      </c>
      <c r="GE16" s="10" t="s">
        <v>19</v>
      </c>
      <c r="GF16" s="10" t="s">
        <v>2</v>
      </c>
      <c r="GG16" s="38" t="s">
        <v>20</v>
      </c>
    </row>
    <row r="17" spans="2:202" ht="18" x14ac:dyDescent="0.3">
      <c r="B17" s="271"/>
      <c r="C17" s="5"/>
      <c r="D17" s="5"/>
      <c r="E17" s="13" t="s">
        <v>5</v>
      </c>
      <c r="F17" s="13" t="s">
        <v>5</v>
      </c>
      <c r="G17" s="6" t="s">
        <v>4</v>
      </c>
      <c r="H17" s="6" t="s">
        <v>4</v>
      </c>
      <c r="I17" s="6" t="s">
        <v>4</v>
      </c>
      <c r="J17" s="6" t="s">
        <v>125</v>
      </c>
      <c r="K17" s="6" t="s">
        <v>126</v>
      </c>
      <c r="L17" s="28"/>
      <c r="M17" s="74"/>
      <c r="N17" s="52" t="s">
        <v>45</v>
      </c>
      <c r="O17" s="53" t="s">
        <v>9</v>
      </c>
      <c r="P17" s="53" t="s">
        <v>10</v>
      </c>
      <c r="Q17" s="53" t="s">
        <v>9</v>
      </c>
      <c r="R17" s="53" t="s">
        <v>10</v>
      </c>
      <c r="S17" s="53" t="s">
        <v>46</v>
      </c>
      <c r="T17" s="13" t="s">
        <v>16</v>
      </c>
      <c r="U17" s="13" t="s">
        <v>47</v>
      </c>
      <c r="V17" s="13" t="s">
        <v>47</v>
      </c>
      <c r="W17" s="13" t="s">
        <v>11</v>
      </c>
      <c r="X17" s="40" t="s">
        <v>17</v>
      </c>
      <c r="Y17" s="39" t="s">
        <v>5</v>
      </c>
      <c r="Z17" s="13" t="s">
        <v>9</v>
      </c>
      <c r="AA17" s="13" t="s">
        <v>10</v>
      </c>
      <c r="AB17" s="13" t="s">
        <v>9</v>
      </c>
      <c r="AC17" s="13" t="s">
        <v>10</v>
      </c>
      <c r="AD17" s="13" t="s">
        <v>12</v>
      </c>
      <c r="AE17" s="13" t="s">
        <v>16</v>
      </c>
      <c r="AF17" s="13" t="s">
        <v>47</v>
      </c>
      <c r="AG17" s="13" t="s">
        <v>47</v>
      </c>
      <c r="AH17" s="13" t="s">
        <v>11</v>
      </c>
      <c r="AI17" s="40" t="s">
        <v>17</v>
      </c>
      <c r="AJ17" s="39" t="s">
        <v>5</v>
      </c>
      <c r="AK17" s="13" t="s">
        <v>9</v>
      </c>
      <c r="AL17" s="13" t="s">
        <v>10</v>
      </c>
      <c r="AM17" s="13" t="s">
        <v>9</v>
      </c>
      <c r="AN17" s="13" t="s">
        <v>10</v>
      </c>
      <c r="AO17" s="13" t="s">
        <v>12</v>
      </c>
      <c r="AP17" s="13" t="s">
        <v>16</v>
      </c>
      <c r="AQ17" s="13" t="s">
        <v>47</v>
      </c>
      <c r="AR17" s="13" t="s">
        <v>47</v>
      </c>
      <c r="AS17" s="13" t="s">
        <v>11</v>
      </c>
      <c r="AT17" s="40" t="s">
        <v>17</v>
      </c>
      <c r="AU17" s="39" t="s">
        <v>5</v>
      </c>
      <c r="AV17" s="13" t="s">
        <v>9</v>
      </c>
      <c r="AW17" s="13" t="s">
        <v>10</v>
      </c>
      <c r="AX17" s="13" t="s">
        <v>9</v>
      </c>
      <c r="AY17" s="13" t="s">
        <v>10</v>
      </c>
      <c r="AZ17" s="13" t="s">
        <v>12</v>
      </c>
      <c r="BA17" s="13" t="s">
        <v>16</v>
      </c>
      <c r="BB17" s="13" t="s">
        <v>47</v>
      </c>
      <c r="BC17" s="13" t="s">
        <v>47</v>
      </c>
      <c r="BD17" s="13" t="s">
        <v>11</v>
      </c>
      <c r="BE17" s="40" t="s">
        <v>17</v>
      </c>
      <c r="BF17" s="39" t="s">
        <v>5</v>
      </c>
      <c r="BG17" s="13" t="s">
        <v>9</v>
      </c>
      <c r="BH17" s="13" t="s">
        <v>10</v>
      </c>
      <c r="BI17" s="13" t="s">
        <v>9</v>
      </c>
      <c r="BJ17" s="13" t="s">
        <v>10</v>
      </c>
      <c r="BK17" s="13" t="s">
        <v>12</v>
      </c>
      <c r="BL17" s="13" t="s">
        <v>16</v>
      </c>
      <c r="BM17" s="13" t="s">
        <v>47</v>
      </c>
      <c r="BN17" s="13" t="s">
        <v>47</v>
      </c>
      <c r="BO17" s="13" t="s">
        <v>11</v>
      </c>
      <c r="BP17" s="40" t="s">
        <v>17</v>
      </c>
      <c r="BQ17" s="39" t="s">
        <v>5</v>
      </c>
      <c r="BR17" s="13" t="s">
        <v>9</v>
      </c>
      <c r="BS17" s="13" t="s">
        <v>10</v>
      </c>
      <c r="BT17" s="13" t="s">
        <v>9</v>
      </c>
      <c r="BU17" s="13" t="s">
        <v>10</v>
      </c>
      <c r="BV17" s="13" t="s">
        <v>12</v>
      </c>
      <c r="BW17" s="13" t="s">
        <v>16</v>
      </c>
      <c r="BX17" s="13" t="s">
        <v>47</v>
      </c>
      <c r="BY17" s="13" t="s">
        <v>47</v>
      </c>
      <c r="BZ17" s="13" t="s">
        <v>11</v>
      </c>
      <c r="CA17" s="40" t="s">
        <v>17</v>
      </c>
      <c r="CB17" s="39" t="s">
        <v>5</v>
      </c>
      <c r="CC17" s="13" t="s">
        <v>9</v>
      </c>
      <c r="CD17" s="13" t="s">
        <v>10</v>
      </c>
      <c r="CE17" s="13" t="s">
        <v>9</v>
      </c>
      <c r="CF17" s="13" t="s">
        <v>10</v>
      </c>
      <c r="CG17" s="13" t="s">
        <v>12</v>
      </c>
      <c r="CH17" s="13" t="s">
        <v>16</v>
      </c>
      <c r="CI17" s="13" t="s">
        <v>47</v>
      </c>
      <c r="CJ17" s="13" t="s">
        <v>47</v>
      </c>
      <c r="CK17" s="13" t="s">
        <v>11</v>
      </c>
      <c r="CL17" s="40" t="s">
        <v>17</v>
      </c>
      <c r="CM17" s="39" t="s">
        <v>5</v>
      </c>
      <c r="CN17" s="13" t="s">
        <v>9</v>
      </c>
      <c r="CO17" s="13" t="s">
        <v>10</v>
      </c>
      <c r="CP17" s="13" t="s">
        <v>9</v>
      </c>
      <c r="CQ17" s="13" t="s">
        <v>10</v>
      </c>
      <c r="CR17" s="13" t="s">
        <v>12</v>
      </c>
      <c r="CS17" s="13" t="s">
        <v>16</v>
      </c>
      <c r="CT17" s="13" t="s">
        <v>47</v>
      </c>
      <c r="CU17" s="13" t="s">
        <v>47</v>
      </c>
      <c r="CV17" s="13" t="s">
        <v>11</v>
      </c>
      <c r="CW17" s="40" t="s">
        <v>17</v>
      </c>
      <c r="CX17" s="39" t="s">
        <v>5</v>
      </c>
      <c r="CY17" s="13" t="s">
        <v>9</v>
      </c>
      <c r="CZ17" s="13" t="s">
        <v>10</v>
      </c>
      <c r="DA17" s="13" t="s">
        <v>9</v>
      </c>
      <c r="DB17" s="13" t="s">
        <v>10</v>
      </c>
      <c r="DC17" s="13" t="s">
        <v>12</v>
      </c>
      <c r="DD17" s="13" t="s">
        <v>16</v>
      </c>
      <c r="DE17" s="13" t="s">
        <v>47</v>
      </c>
      <c r="DF17" s="13" t="s">
        <v>47</v>
      </c>
      <c r="DG17" s="13" t="s">
        <v>11</v>
      </c>
      <c r="DH17" s="40" t="s">
        <v>17</v>
      </c>
      <c r="DI17" s="39" t="s">
        <v>5</v>
      </c>
      <c r="DJ17" s="13" t="s">
        <v>9</v>
      </c>
      <c r="DK17" s="13" t="s">
        <v>10</v>
      </c>
      <c r="DL17" s="13" t="s">
        <v>9</v>
      </c>
      <c r="DM17" s="13" t="s">
        <v>10</v>
      </c>
      <c r="DN17" s="13" t="s">
        <v>12</v>
      </c>
      <c r="DO17" s="13" t="s">
        <v>16</v>
      </c>
      <c r="DP17" s="13" t="s">
        <v>47</v>
      </c>
      <c r="DQ17" s="13" t="s">
        <v>47</v>
      </c>
      <c r="DR17" s="13" t="s">
        <v>11</v>
      </c>
      <c r="DS17" s="40" t="s">
        <v>17</v>
      </c>
      <c r="DT17" s="39" t="s">
        <v>5</v>
      </c>
      <c r="DU17" s="13" t="s">
        <v>9</v>
      </c>
      <c r="DV17" s="13" t="s">
        <v>10</v>
      </c>
      <c r="DW17" s="13" t="s">
        <v>9</v>
      </c>
      <c r="DX17" s="13" t="s">
        <v>10</v>
      </c>
      <c r="DY17" s="13" t="s">
        <v>12</v>
      </c>
      <c r="DZ17" s="13" t="s">
        <v>16</v>
      </c>
      <c r="EA17" s="13" t="s">
        <v>47</v>
      </c>
      <c r="EB17" s="13" t="s">
        <v>47</v>
      </c>
      <c r="EC17" s="13" t="s">
        <v>11</v>
      </c>
      <c r="ED17" s="40" t="s">
        <v>17</v>
      </c>
      <c r="EE17" s="39" t="s">
        <v>5</v>
      </c>
      <c r="EF17" s="13" t="s">
        <v>9</v>
      </c>
      <c r="EG17" s="13" t="s">
        <v>10</v>
      </c>
      <c r="EH17" s="13" t="s">
        <v>9</v>
      </c>
      <c r="EI17" s="13" t="s">
        <v>10</v>
      </c>
      <c r="EJ17" s="13" t="s">
        <v>12</v>
      </c>
      <c r="EK17" s="13" t="s">
        <v>16</v>
      </c>
      <c r="EL17" s="13" t="s">
        <v>47</v>
      </c>
      <c r="EM17" s="13" t="s">
        <v>47</v>
      </c>
      <c r="EN17" s="13" t="s">
        <v>11</v>
      </c>
      <c r="EO17" s="40" t="s">
        <v>17</v>
      </c>
      <c r="EP17" s="39" t="s">
        <v>5</v>
      </c>
      <c r="EQ17" s="13" t="s">
        <v>9</v>
      </c>
      <c r="ER17" s="13" t="s">
        <v>10</v>
      </c>
      <c r="ES17" s="13" t="s">
        <v>9</v>
      </c>
      <c r="ET17" s="13" t="s">
        <v>10</v>
      </c>
      <c r="EU17" s="13" t="s">
        <v>12</v>
      </c>
      <c r="EV17" s="13" t="s">
        <v>16</v>
      </c>
      <c r="EW17" s="13" t="s">
        <v>47</v>
      </c>
      <c r="EX17" s="13" t="s">
        <v>47</v>
      </c>
      <c r="EY17" s="13" t="s">
        <v>11</v>
      </c>
      <c r="EZ17" s="40" t="s">
        <v>17</v>
      </c>
      <c r="FA17" s="39" t="s">
        <v>5</v>
      </c>
      <c r="FB17" s="13" t="s">
        <v>9</v>
      </c>
      <c r="FC17" s="13" t="s">
        <v>10</v>
      </c>
      <c r="FD17" s="13" t="s">
        <v>9</v>
      </c>
      <c r="FE17" s="13" t="s">
        <v>10</v>
      </c>
      <c r="FF17" s="13" t="s">
        <v>12</v>
      </c>
      <c r="FG17" s="13" t="s">
        <v>16</v>
      </c>
      <c r="FH17" s="13" t="s">
        <v>47</v>
      </c>
      <c r="FI17" s="13" t="s">
        <v>47</v>
      </c>
      <c r="FJ17" s="13" t="s">
        <v>11</v>
      </c>
      <c r="FK17" s="40" t="s">
        <v>17</v>
      </c>
      <c r="FL17" s="39" t="s">
        <v>5</v>
      </c>
      <c r="FM17" s="13" t="s">
        <v>9</v>
      </c>
      <c r="FN17" s="13" t="s">
        <v>10</v>
      </c>
      <c r="FO17" s="13" t="s">
        <v>9</v>
      </c>
      <c r="FP17" s="13" t="s">
        <v>10</v>
      </c>
      <c r="FQ17" s="13" t="s">
        <v>12</v>
      </c>
      <c r="FR17" s="13" t="s">
        <v>16</v>
      </c>
      <c r="FS17" s="13" t="s">
        <v>47</v>
      </c>
      <c r="FT17" s="13" t="s">
        <v>47</v>
      </c>
      <c r="FU17" s="13" t="s">
        <v>11</v>
      </c>
      <c r="FV17" s="40" t="s">
        <v>17</v>
      </c>
      <c r="FW17" s="39" t="s">
        <v>5</v>
      </c>
      <c r="FX17" s="13" t="s">
        <v>9</v>
      </c>
      <c r="FY17" s="13" t="s">
        <v>10</v>
      </c>
      <c r="FZ17" s="13" t="s">
        <v>9</v>
      </c>
      <c r="GA17" s="13" t="s">
        <v>10</v>
      </c>
      <c r="GB17" s="13" t="s">
        <v>12</v>
      </c>
      <c r="GC17" s="13" t="s">
        <v>16</v>
      </c>
      <c r="GD17" s="13" t="s">
        <v>47</v>
      </c>
      <c r="GE17" s="13" t="s">
        <v>47</v>
      </c>
      <c r="GF17" s="13" t="s">
        <v>11</v>
      </c>
      <c r="GG17" s="40" t="s">
        <v>17</v>
      </c>
    </row>
    <row r="18" spans="2:202" ht="13.8" x14ac:dyDescent="0.25">
      <c r="B18" s="33"/>
      <c r="C18" s="4"/>
      <c r="D18" s="4"/>
      <c r="E18" s="4"/>
      <c r="F18" s="4"/>
      <c r="G18" s="4"/>
      <c r="H18" s="4"/>
      <c r="I18" s="4"/>
      <c r="J18" s="106"/>
      <c r="K18" s="106"/>
      <c r="L18" s="29"/>
      <c r="M18" s="75"/>
      <c r="N18" s="42"/>
      <c r="O18" s="19"/>
      <c r="P18" s="4"/>
      <c r="Q18" s="19"/>
      <c r="R18" s="4"/>
      <c r="S18" s="25" t="s">
        <v>117</v>
      </c>
      <c r="T18" s="4"/>
      <c r="U18" s="4"/>
      <c r="V18" s="4"/>
      <c r="W18" s="4" t="s">
        <v>117</v>
      </c>
      <c r="X18" s="46"/>
      <c r="Y18" s="42"/>
      <c r="Z18" s="19"/>
      <c r="AA18" s="4"/>
      <c r="AB18" s="19"/>
      <c r="AC18" s="4"/>
      <c r="AD18" s="25" t="s">
        <v>117</v>
      </c>
      <c r="AE18" s="4"/>
      <c r="AF18" s="4"/>
      <c r="AG18" s="4"/>
      <c r="AH18" s="4" t="s">
        <v>117</v>
      </c>
      <c r="AI18" s="46"/>
      <c r="AJ18" s="42"/>
      <c r="AK18" s="19"/>
      <c r="AL18" s="4"/>
      <c r="AM18" s="19"/>
      <c r="AN18" s="4"/>
      <c r="AO18" s="25" t="s">
        <v>117</v>
      </c>
      <c r="AP18" s="4"/>
      <c r="AQ18" s="4"/>
      <c r="AR18" s="4"/>
      <c r="AS18" s="4" t="s">
        <v>117</v>
      </c>
      <c r="AT18" s="46"/>
      <c r="AU18" s="42"/>
      <c r="AV18" s="19"/>
      <c r="AW18" s="4"/>
      <c r="AX18" s="19"/>
      <c r="AY18" s="4"/>
      <c r="AZ18" s="25" t="s">
        <v>117</v>
      </c>
      <c r="BA18" s="4"/>
      <c r="BB18" s="4"/>
      <c r="BC18" s="4"/>
      <c r="BD18" s="4" t="s">
        <v>117</v>
      </c>
      <c r="BE18" s="46"/>
      <c r="BF18" s="42"/>
      <c r="BG18" s="19"/>
      <c r="BH18" s="4"/>
      <c r="BI18" s="19"/>
      <c r="BJ18" s="4"/>
      <c r="BK18" s="25" t="s">
        <v>117</v>
      </c>
      <c r="BL18" s="4"/>
      <c r="BM18" s="4"/>
      <c r="BN18" s="4"/>
      <c r="BO18" s="4" t="s">
        <v>117</v>
      </c>
      <c r="BP18" s="46"/>
      <c r="BQ18" s="42"/>
      <c r="BR18" s="19"/>
      <c r="BS18" s="4"/>
      <c r="BT18" s="19"/>
      <c r="BU18" s="4"/>
      <c r="BV18" s="25" t="s">
        <v>117</v>
      </c>
      <c r="BW18" s="4"/>
      <c r="BX18" s="4"/>
      <c r="BY18" s="4"/>
      <c r="BZ18" s="4" t="s">
        <v>117</v>
      </c>
      <c r="CA18" s="46"/>
      <c r="CB18" s="42"/>
      <c r="CC18" s="19"/>
      <c r="CD18" s="4"/>
      <c r="CE18" s="19"/>
      <c r="CF18" s="4"/>
      <c r="CG18" s="25" t="s">
        <v>117</v>
      </c>
      <c r="CH18" s="4"/>
      <c r="CI18" s="4"/>
      <c r="CJ18" s="4"/>
      <c r="CK18" s="4" t="s">
        <v>117</v>
      </c>
      <c r="CL18" s="46"/>
      <c r="CM18" s="42"/>
      <c r="CN18" s="19"/>
      <c r="CO18" s="4"/>
      <c r="CP18" s="19"/>
      <c r="CQ18" s="4"/>
      <c r="CR18" s="25" t="s">
        <v>117</v>
      </c>
      <c r="CS18" s="4"/>
      <c r="CT18" s="4"/>
      <c r="CU18" s="4"/>
      <c r="CV18" s="4" t="s">
        <v>117</v>
      </c>
      <c r="CW18" s="46"/>
      <c r="CX18" s="42"/>
      <c r="CY18" s="19"/>
      <c r="CZ18" s="4"/>
      <c r="DA18" s="19"/>
      <c r="DB18" s="4"/>
      <c r="DC18" s="25" t="s">
        <v>117</v>
      </c>
      <c r="DD18" s="4"/>
      <c r="DE18" s="4"/>
      <c r="DF18" s="4"/>
      <c r="DG18" s="4" t="s">
        <v>117</v>
      </c>
      <c r="DH18" s="46"/>
      <c r="DI18" s="42"/>
      <c r="DJ18" s="19"/>
      <c r="DK18" s="4"/>
      <c r="DL18" s="19"/>
      <c r="DM18" s="4"/>
      <c r="DN18" s="25" t="s">
        <v>117</v>
      </c>
      <c r="DO18" s="4"/>
      <c r="DP18" s="4"/>
      <c r="DQ18" s="4"/>
      <c r="DR18" s="4" t="s">
        <v>117</v>
      </c>
      <c r="DS18" s="46"/>
      <c r="DT18" s="42"/>
      <c r="DU18" s="19"/>
      <c r="DV18" s="4"/>
      <c r="DW18" s="19"/>
      <c r="DX18" s="4"/>
      <c r="DY18" s="25" t="s">
        <v>117</v>
      </c>
      <c r="DZ18" s="4"/>
      <c r="EA18" s="4"/>
      <c r="EB18" s="4"/>
      <c r="EC18" s="4" t="s">
        <v>117</v>
      </c>
      <c r="ED18" s="46"/>
      <c r="EE18" s="42"/>
      <c r="EF18" s="19"/>
      <c r="EG18" s="4"/>
      <c r="EH18" s="19"/>
      <c r="EI18" s="4"/>
      <c r="EJ18" s="25" t="s">
        <v>117</v>
      </c>
      <c r="EK18" s="4"/>
      <c r="EL18" s="4"/>
      <c r="EM18" s="4"/>
      <c r="EN18" s="4" t="s">
        <v>117</v>
      </c>
      <c r="EO18" s="46"/>
      <c r="EP18" s="42"/>
      <c r="EQ18" s="19"/>
      <c r="ER18" s="4"/>
      <c r="ES18" s="19"/>
      <c r="ET18" s="4"/>
      <c r="EU18" s="25" t="s">
        <v>117</v>
      </c>
      <c r="EV18" s="4"/>
      <c r="EW18" s="4"/>
      <c r="EX18" s="4"/>
      <c r="EY18" s="4" t="s">
        <v>117</v>
      </c>
      <c r="EZ18" s="46"/>
      <c r="FA18" s="42"/>
      <c r="FB18" s="19"/>
      <c r="FC18" s="4"/>
      <c r="FD18" s="19"/>
      <c r="FE18" s="4"/>
      <c r="FF18" s="25" t="s">
        <v>117</v>
      </c>
      <c r="FG18" s="4"/>
      <c r="FH18" s="4"/>
      <c r="FI18" s="4"/>
      <c r="FJ18" s="4" t="s">
        <v>117</v>
      </c>
      <c r="FK18" s="46"/>
      <c r="FL18" s="42"/>
      <c r="FM18" s="19"/>
      <c r="FN18" s="4"/>
      <c r="FO18" s="19"/>
      <c r="FP18" s="4"/>
      <c r="FQ18" s="25" t="s">
        <v>117</v>
      </c>
      <c r="FR18" s="4"/>
      <c r="FS18" s="4"/>
      <c r="FT18" s="4"/>
      <c r="FU18" s="4" t="s">
        <v>117</v>
      </c>
      <c r="FV18" s="46"/>
      <c r="FW18" s="42"/>
      <c r="FX18" s="19"/>
      <c r="FY18" s="4"/>
      <c r="FZ18" s="19"/>
      <c r="GA18" s="4"/>
      <c r="GB18" s="25" t="s">
        <v>117</v>
      </c>
      <c r="GC18" s="4"/>
      <c r="GD18" s="4"/>
      <c r="GE18" s="4"/>
      <c r="GF18" s="4" t="s">
        <v>117</v>
      </c>
      <c r="GG18" s="46"/>
    </row>
    <row r="19" spans="2:202" ht="13.8" hidden="1" x14ac:dyDescent="0.25">
      <c r="B19" s="34" t="s">
        <v>136</v>
      </c>
      <c r="C19" s="2"/>
      <c r="D19" s="2"/>
      <c r="E19" s="2"/>
      <c r="F19" s="2"/>
      <c r="G19" s="2"/>
      <c r="H19" s="2"/>
      <c r="I19" s="2"/>
      <c r="J19" s="107"/>
      <c r="K19" s="107"/>
      <c r="L19" s="32"/>
      <c r="M19" s="76"/>
      <c r="N19" s="41"/>
      <c r="O19" s="20"/>
      <c r="P19" s="2"/>
      <c r="Q19" s="20"/>
      <c r="R19" s="2"/>
      <c r="S19" s="26"/>
      <c r="T19" s="2"/>
      <c r="U19" s="2"/>
      <c r="V19" s="2"/>
      <c r="W19" s="2"/>
      <c r="X19" s="47"/>
      <c r="Y19" s="41"/>
      <c r="Z19" s="20"/>
      <c r="AA19" s="2"/>
      <c r="AB19" s="20"/>
      <c r="AC19" s="2"/>
      <c r="AD19" s="26"/>
      <c r="AE19" s="23"/>
      <c r="AF19" s="2"/>
      <c r="AG19" s="2"/>
      <c r="AH19" s="2"/>
      <c r="AI19" s="47"/>
      <c r="AJ19" s="41"/>
      <c r="AK19" s="20"/>
      <c r="AL19" s="2"/>
      <c r="AM19" s="20"/>
      <c r="AN19" s="2"/>
      <c r="AO19" s="26"/>
      <c r="AP19" s="2"/>
      <c r="AQ19" s="2"/>
      <c r="AR19" s="2"/>
      <c r="AS19" s="2"/>
      <c r="AT19" s="47"/>
      <c r="AU19" s="41"/>
      <c r="AV19" s="20"/>
      <c r="AW19" s="2"/>
      <c r="AX19" s="20"/>
      <c r="AY19" s="2"/>
      <c r="AZ19" s="26"/>
      <c r="BA19" s="2"/>
      <c r="BB19" s="2"/>
      <c r="BC19" s="2"/>
      <c r="BD19" s="2"/>
      <c r="BE19" s="47"/>
      <c r="BF19" s="41"/>
      <c r="BG19" s="20"/>
      <c r="BH19" s="2"/>
      <c r="BI19" s="20"/>
      <c r="BJ19" s="2"/>
      <c r="BK19" s="26"/>
      <c r="BL19" s="2"/>
      <c r="BM19" s="2"/>
      <c r="BN19" s="2"/>
      <c r="BO19" s="2"/>
      <c r="BP19" s="47"/>
      <c r="BQ19" s="41"/>
      <c r="BR19" s="20"/>
      <c r="BS19" s="2"/>
      <c r="BT19" s="20"/>
      <c r="BU19" s="2"/>
      <c r="BV19" s="26"/>
      <c r="BW19" s="2"/>
      <c r="BX19" s="2"/>
      <c r="BY19" s="2"/>
      <c r="BZ19" s="2"/>
      <c r="CA19" s="47"/>
      <c r="CB19" s="41"/>
      <c r="CC19" s="20"/>
      <c r="CD19" s="2"/>
      <c r="CE19" s="20"/>
      <c r="CF19" s="2"/>
      <c r="CG19" s="26"/>
      <c r="CH19" s="2"/>
      <c r="CI19" s="2"/>
      <c r="CJ19" s="2"/>
      <c r="CK19" s="2"/>
      <c r="CL19" s="47"/>
      <c r="CM19" s="41"/>
      <c r="CN19" s="20"/>
      <c r="CO19" s="2"/>
      <c r="CP19" s="20"/>
      <c r="CQ19" s="2"/>
      <c r="CR19" s="26"/>
      <c r="CS19" s="2"/>
      <c r="CT19" s="2"/>
      <c r="CU19" s="2"/>
      <c r="CV19" s="2"/>
      <c r="CW19" s="47"/>
      <c r="CX19" s="41"/>
      <c r="CY19" s="20"/>
      <c r="CZ19" s="2"/>
      <c r="DA19" s="20"/>
      <c r="DB19" s="2"/>
      <c r="DC19" s="26"/>
      <c r="DD19" s="2"/>
      <c r="DE19" s="2"/>
      <c r="DF19" s="2"/>
      <c r="DG19" s="2"/>
      <c r="DH19" s="47"/>
      <c r="DI19" s="41"/>
      <c r="DJ19" s="20"/>
      <c r="DK19" s="2"/>
      <c r="DL19" s="20"/>
      <c r="DM19" s="2"/>
      <c r="DN19" s="26"/>
      <c r="DO19" s="2"/>
      <c r="DP19" s="2"/>
      <c r="DQ19" s="2"/>
      <c r="DR19" s="2"/>
      <c r="DS19" s="47"/>
      <c r="DT19" s="41"/>
      <c r="DU19" s="20"/>
      <c r="DV19" s="2"/>
      <c r="DW19" s="20"/>
      <c r="DX19" s="2"/>
      <c r="DY19" s="26"/>
      <c r="DZ19" s="2"/>
      <c r="EA19" s="2"/>
      <c r="EB19" s="2"/>
      <c r="EC19" s="2"/>
      <c r="ED19" s="47"/>
      <c r="EE19" s="41"/>
      <c r="EF19" s="20"/>
      <c r="EG19" s="2"/>
      <c r="EH19" s="20"/>
      <c r="EI19" s="2"/>
      <c r="EJ19" s="26"/>
      <c r="EK19" s="2"/>
      <c r="EL19" s="2"/>
      <c r="EM19" s="2"/>
      <c r="EN19" s="2"/>
      <c r="EO19" s="47"/>
      <c r="EP19" s="41"/>
      <c r="EQ19" s="20"/>
      <c r="ER19" s="2"/>
      <c r="ES19" s="20"/>
      <c r="ET19" s="2"/>
      <c r="EU19" s="26"/>
      <c r="EV19" s="2"/>
      <c r="EW19" s="2"/>
      <c r="EX19" s="2"/>
      <c r="EY19" s="2"/>
      <c r="EZ19" s="47"/>
      <c r="FA19" s="41"/>
      <c r="FB19" s="20"/>
      <c r="FC19" s="2"/>
      <c r="FD19" s="20"/>
      <c r="FE19" s="2"/>
      <c r="FF19" s="26"/>
      <c r="FG19" s="2"/>
      <c r="FH19" s="2"/>
      <c r="FI19" s="2"/>
      <c r="FJ19" s="2"/>
      <c r="FK19" s="47"/>
      <c r="FL19" s="41"/>
      <c r="FM19" s="20"/>
      <c r="FN19" s="2"/>
      <c r="FO19" s="20"/>
      <c r="FP19" s="2"/>
      <c r="FQ19" s="26"/>
      <c r="FR19" s="2"/>
      <c r="FS19" s="2"/>
      <c r="FT19" s="2"/>
      <c r="FU19" s="2"/>
      <c r="FV19" s="47"/>
      <c r="FW19" s="41"/>
      <c r="FX19" s="20"/>
      <c r="FY19" s="2"/>
      <c r="FZ19" s="20"/>
      <c r="GA19" s="2"/>
      <c r="GB19" s="26"/>
      <c r="GC19" s="2"/>
      <c r="GD19" s="2"/>
      <c r="GE19" s="2"/>
      <c r="GF19" s="2"/>
      <c r="GG19" s="47"/>
    </row>
    <row r="20" spans="2:202" ht="14.4" hidden="1" x14ac:dyDescent="0.3">
      <c r="B20" s="30" t="s">
        <v>113</v>
      </c>
      <c r="C20" s="7"/>
      <c r="D20" s="7"/>
      <c r="E20" s="7"/>
      <c r="F20" s="3"/>
      <c r="G20" s="3"/>
      <c r="H20" s="8"/>
      <c r="I20" s="12"/>
      <c r="J20" s="108"/>
      <c r="K20" s="108"/>
      <c r="L20" s="32"/>
      <c r="M20" s="78"/>
      <c r="N20" s="45"/>
      <c r="O20" s="22"/>
      <c r="P20" s="15"/>
      <c r="Q20" s="22"/>
      <c r="R20" s="15"/>
      <c r="S20" s="24"/>
      <c r="T20" s="16"/>
      <c r="U20" s="14"/>
      <c r="V20" s="14"/>
      <c r="W20" s="14"/>
      <c r="X20" s="44"/>
      <c r="Y20" s="45"/>
      <c r="Z20" s="22"/>
      <c r="AA20" s="15"/>
      <c r="AB20" s="22"/>
      <c r="AC20" s="15"/>
      <c r="AD20" s="24"/>
      <c r="AE20" s="16"/>
      <c r="AF20" s="14"/>
      <c r="AG20" s="14"/>
      <c r="AH20" s="14"/>
      <c r="AI20" s="44"/>
      <c r="AJ20" s="45"/>
      <c r="AK20" s="22"/>
      <c r="AL20" s="15"/>
      <c r="AM20" s="22"/>
      <c r="AN20" s="15"/>
      <c r="AO20" s="24"/>
      <c r="AP20" s="16"/>
      <c r="AQ20" s="14"/>
      <c r="AR20" s="14"/>
      <c r="AS20" s="14"/>
      <c r="AT20" s="44"/>
      <c r="AU20" s="45"/>
      <c r="AV20" s="22"/>
      <c r="AW20" s="15"/>
      <c r="AX20" s="22"/>
      <c r="AY20" s="15"/>
      <c r="AZ20" s="24"/>
      <c r="BA20" s="16"/>
      <c r="BB20" s="14"/>
      <c r="BC20" s="14"/>
      <c r="BD20" s="14"/>
      <c r="BE20" s="44"/>
      <c r="BF20" s="45"/>
      <c r="BG20" s="22"/>
      <c r="BH20" s="15"/>
      <c r="BI20" s="22"/>
      <c r="BJ20" s="15"/>
      <c r="BK20" s="24"/>
      <c r="BL20" s="16"/>
      <c r="BM20" s="14"/>
      <c r="BN20" s="14"/>
      <c r="BO20" s="14"/>
      <c r="BP20" s="44"/>
      <c r="BQ20" s="45"/>
      <c r="BR20" s="22"/>
      <c r="BS20" s="15"/>
      <c r="BT20" s="22"/>
      <c r="BU20" s="15"/>
      <c r="BV20" s="24"/>
      <c r="BW20" s="16"/>
      <c r="BX20" s="14"/>
      <c r="BY20" s="14"/>
      <c r="BZ20" s="14"/>
      <c r="CA20" s="44"/>
      <c r="CB20" s="45"/>
      <c r="CC20" s="22"/>
      <c r="CD20" s="15"/>
      <c r="CE20" s="22"/>
      <c r="CF20" s="15"/>
      <c r="CG20" s="24"/>
      <c r="CH20" s="16"/>
      <c r="CI20" s="14"/>
      <c r="CJ20" s="14"/>
      <c r="CK20" s="14"/>
      <c r="CL20" s="44"/>
      <c r="CM20" s="45"/>
      <c r="CN20" s="22"/>
      <c r="CO20" s="15"/>
      <c r="CP20" s="22"/>
      <c r="CQ20" s="15"/>
      <c r="CR20" s="24"/>
      <c r="CS20" s="16"/>
      <c r="CT20" s="14"/>
      <c r="CU20" s="14"/>
      <c r="CV20" s="14"/>
      <c r="CW20" s="44"/>
      <c r="CX20" s="45"/>
      <c r="CY20" s="22"/>
      <c r="CZ20" s="15"/>
      <c r="DA20" s="22"/>
      <c r="DB20" s="15"/>
      <c r="DC20" s="24"/>
      <c r="DD20" s="16"/>
      <c r="DE20" s="14"/>
      <c r="DF20" s="14"/>
      <c r="DG20" s="14"/>
      <c r="DH20" s="44"/>
      <c r="DI20" s="45"/>
      <c r="DJ20" s="22"/>
      <c r="DK20" s="15"/>
      <c r="DL20" s="22"/>
      <c r="DM20" s="15"/>
      <c r="DN20" s="24"/>
      <c r="DO20" s="16"/>
      <c r="DP20" s="14"/>
      <c r="DQ20" s="14"/>
      <c r="DR20" s="14"/>
      <c r="DS20" s="44"/>
      <c r="DT20" s="45"/>
      <c r="DU20" s="22"/>
      <c r="DV20" s="15"/>
      <c r="DW20" s="22"/>
      <c r="DX20" s="15"/>
      <c r="DY20" s="24"/>
      <c r="DZ20" s="16"/>
      <c r="EA20" s="14"/>
      <c r="EB20" s="14"/>
      <c r="EC20" s="14"/>
      <c r="ED20" s="44"/>
      <c r="EE20" s="45"/>
      <c r="EF20" s="22"/>
      <c r="EG20" s="15"/>
      <c r="EH20" s="22"/>
      <c r="EI20" s="15"/>
      <c r="EJ20" s="24"/>
      <c r="EK20" s="16"/>
      <c r="EL20" s="14"/>
      <c r="EM20" s="14"/>
      <c r="EN20" s="14"/>
      <c r="EO20" s="44"/>
      <c r="EP20" s="45"/>
      <c r="EQ20" s="22"/>
      <c r="ER20" s="15"/>
      <c r="ES20" s="22"/>
      <c r="ET20" s="15"/>
      <c r="EU20" s="24"/>
      <c r="EV20" s="16"/>
      <c r="EW20" s="14"/>
      <c r="EX20" s="14"/>
      <c r="EY20" s="14"/>
      <c r="EZ20" s="44"/>
      <c r="FA20" s="45"/>
      <c r="FB20" s="22"/>
      <c r="FC20" s="15"/>
      <c r="FD20" s="22"/>
      <c r="FE20" s="15"/>
      <c r="FF20" s="24"/>
      <c r="FG20" s="16"/>
      <c r="FH20" s="14"/>
      <c r="FI20" s="14"/>
      <c r="FJ20" s="14"/>
      <c r="FK20" s="44"/>
      <c r="FL20" s="45"/>
      <c r="FM20" s="22"/>
      <c r="FN20" s="15"/>
      <c r="FO20" s="22"/>
      <c r="FP20" s="15"/>
      <c r="FQ20" s="24"/>
      <c r="FR20" s="16"/>
      <c r="FS20" s="14"/>
      <c r="FT20" s="14"/>
      <c r="FU20" s="14"/>
      <c r="FV20" s="44"/>
      <c r="FW20" s="45"/>
      <c r="FX20" s="22"/>
      <c r="FY20" s="15"/>
      <c r="FZ20" s="22"/>
      <c r="GA20" s="15"/>
      <c r="GB20" s="24"/>
      <c r="GC20" s="16"/>
      <c r="GD20" s="14"/>
      <c r="GE20" s="14"/>
      <c r="GF20" s="14"/>
      <c r="GG20" s="44"/>
      <c r="GH20" s="1" t="s">
        <v>0</v>
      </c>
      <c r="GI20" s="61" t="e">
        <f>#REF!</f>
        <v>#REF!</v>
      </c>
      <c r="GJ20" s="62" t="e">
        <f>#REF!</f>
        <v>#REF!</v>
      </c>
      <c r="GK20" s="61" t="e">
        <f>#REF!</f>
        <v>#REF!</v>
      </c>
      <c r="GL20" s="62" t="e">
        <f>#REF!</f>
        <v>#REF!</v>
      </c>
      <c r="GM20" s="61" t="e">
        <f>#REF!</f>
        <v>#REF!</v>
      </c>
      <c r="GN20" s="62" t="e">
        <f>#REF!</f>
        <v>#REF!</v>
      </c>
      <c r="GO20" s="61" t="e">
        <f>#REF!</f>
        <v>#REF!</v>
      </c>
      <c r="GP20" s="62" t="e">
        <f>#REF!</f>
        <v>#REF!</v>
      </c>
      <c r="GQ20" s="61" t="e">
        <f>#REF!</f>
        <v>#REF!</v>
      </c>
      <c r="GR20" s="62" t="e">
        <f>#REF!</f>
        <v>#REF!</v>
      </c>
      <c r="GS20" s="61" t="e">
        <f>#REF!</f>
        <v>#REF!</v>
      </c>
      <c r="GT20" s="62" t="e">
        <f>#REF!</f>
        <v>#REF!</v>
      </c>
    </row>
    <row r="21" spans="2:202" ht="13.8" x14ac:dyDescent="0.25">
      <c r="B21" s="31" t="s">
        <v>144</v>
      </c>
      <c r="C21" s="3" t="s">
        <v>156</v>
      </c>
      <c r="D21" s="3">
        <v>1</v>
      </c>
      <c r="E21" s="3">
        <v>38</v>
      </c>
      <c r="F21" s="3">
        <f>E21-10</f>
        <v>28</v>
      </c>
      <c r="G21" s="11">
        <f>'Cooling Load'!C33</f>
        <v>47.738845420205479</v>
      </c>
      <c r="H21" s="14">
        <f>G21*1.15</f>
        <v>54.899672233236295</v>
      </c>
      <c r="I21" s="14">
        <f>'Cooling Load'!G33</f>
        <v>22.681488904109589</v>
      </c>
      <c r="J21" s="110">
        <f>'Cooling Load'!G20</f>
        <v>5.8549999999999998E-2</v>
      </c>
      <c r="K21" s="109">
        <f>'Cooling Load'!G26</f>
        <v>275.77049999999997</v>
      </c>
      <c r="L21" s="98">
        <f>I21/H21</f>
        <v>0.41314434096708874</v>
      </c>
      <c r="M21" s="97">
        <f>(1-(1-L21))*(1-$D$8)</f>
        <v>0.3924871239187343</v>
      </c>
      <c r="N21" s="43">
        <f>69+15</f>
        <v>84</v>
      </c>
      <c r="O21" s="15">
        <f>$H$3+$H$4*N21+$H$5*($G21/$H21)+$H$6*N21^2+$H$7*($G21/$H21)^2+$H$8*N21*($G21/$H21)+$H$9*N21^3+$H$10*($G21/$H21)^3+$H$11*N21*($G21/$H21)^2+$H$12*N21^2*($G21/$H21)</f>
        <v>9.5174240876692355</v>
      </c>
      <c r="P21" s="15">
        <f>$G$21/(O21*1000)</f>
        <v>5.0159418116143299E-3</v>
      </c>
      <c r="Q21" s="15">
        <f>O21</f>
        <v>9.5174240876692355</v>
      </c>
      <c r="R21" s="15">
        <f>($I21/Q21)/1000</f>
        <v>2.3831541702019668E-3</v>
      </c>
      <c r="S21" s="24">
        <f>P21-R21+$J21</f>
        <v>6.1182787641412363E-2</v>
      </c>
      <c r="T21" s="16">
        <f>S21/$D21</f>
        <v>6.1182787641412363E-2</v>
      </c>
      <c r="U21" s="14">
        <f>P21*$Q$10</f>
        <v>14.492622982689506</v>
      </c>
      <c r="V21" s="14">
        <f>R21*$M21*$Q$7*$D$11</f>
        <v>3.2714952339083996</v>
      </c>
      <c r="W21" s="14">
        <f>U21-V21+$K21</f>
        <v>286.99162774878107</v>
      </c>
      <c r="X21" s="44">
        <f>W21/$D21</f>
        <v>286.99162774878107</v>
      </c>
      <c r="Y21" s="43">
        <f>96+15</f>
        <v>111</v>
      </c>
      <c r="Z21" s="15">
        <f>$H$3+$H$4*Y21+$H$5*($G21/$H21)+$H$6*Y21^2+$H$7*($G21/$H21)^2+$H$8*Y21*($G21/$H21)+$H$9*Y21^3+$H$10*($G21/$H21)^3+$H$11*Y21*($G21/$H21)^2+$H$12*Y21^2*($G21/$H21)</f>
        <v>6.4425744504920139</v>
      </c>
      <c r="AA21" s="15">
        <f>$G$21/(Z21*1000)</f>
        <v>7.4099020177500162E-3</v>
      </c>
      <c r="AB21" s="15">
        <f>Z21</f>
        <v>6.4425744504920139</v>
      </c>
      <c r="AC21" s="15">
        <f>($I21/AB21)/1000</f>
        <v>3.5205629486171359E-3</v>
      </c>
      <c r="AD21" s="24">
        <f>AA21-AC21+$J21</f>
        <v>6.2439339069132876E-2</v>
      </c>
      <c r="AE21" s="16">
        <f>AD21/$D21</f>
        <v>6.2439339069132876E-2</v>
      </c>
      <c r="AF21" s="14">
        <f>AA21*$R$10</f>
        <v>21.566182055926518</v>
      </c>
      <c r="AG21" s="14">
        <f>AC21*$M21*$R$7*$D$11</f>
        <v>4.8682465481808377</v>
      </c>
      <c r="AH21" s="14">
        <f>AF21-AG21+$K21</f>
        <v>292.46843550774565</v>
      </c>
      <c r="AI21" s="44">
        <f>AH21/$D21</f>
        <v>292.46843550774565</v>
      </c>
      <c r="AJ21" s="43">
        <f>89+15</f>
        <v>104</v>
      </c>
      <c r="AK21" s="15">
        <f>$H$3+$H$4*AJ21+$H$5*($G21/$H21)+$H$6*AJ21^2+$H$7*($G21/$H21)^2+$H$8*AJ21*($G21/$H21)+$H$9*AJ21^3+$H$10*($G21/$H21)^3+$H$11*AJ21*($G21/$H21)^2+$H$12*AJ21^2*($G21/$H21)</f>
        <v>7.1731404854674139</v>
      </c>
      <c r="AL21" s="15">
        <f>$G$21/(AK21*1000)</f>
        <v>6.6552224255084745E-3</v>
      </c>
      <c r="AM21" s="15">
        <f>AK21</f>
        <v>7.1731404854674139</v>
      </c>
      <c r="AN21" s="15">
        <f>($I21/AM21)/1000</f>
        <v>3.1620026054225013E-3</v>
      </c>
      <c r="AO21" s="24">
        <f>AL21-AN21+$J21</f>
        <v>6.2043219820085968E-2</v>
      </c>
      <c r="AP21" s="16">
        <f>AO21/$D21</f>
        <v>6.2043219820085968E-2</v>
      </c>
      <c r="AQ21" s="14">
        <f>AL21*$Q$10</f>
        <v>19.229016823022661</v>
      </c>
      <c r="AR21" s="14">
        <f>AN21*$M21*$S$7*$D$11</f>
        <v>4.4451487490693298</v>
      </c>
      <c r="AS21" s="14">
        <f>AQ21-AR21+$K21</f>
        <v>290.5543680739533</v>
      </c>
      <c r="AT21" s="44">
        <f>AS21/$D21</f>
        <v>290.5543680739533</v>
      </c>
      <c r="AU21" s="43">
        <f>88+15</f>
        <v>103</v>
      </c>
      <c r="AV21" s="15">
        <f>$H$3+$H$4*AU21+$H$5*($G21/$H21)+$H$6*AU21^2+$H$7*($G21/$H21)^2+$H$8*AU21*($G21/$H21)+$H$9*AU21^3+$H$10*($G21/$H21)^3+$H$11*AU21*($G21/$H21)^2+$H$12*AU21^2*($G21/$H21)</f>
        <v>7.2810909178233514</v>
      </c>
      <c r="AW21" s="178">
        <f>$G$21/(AV21*1000)</f>
        <v>6.5565512035216812E-3</v>
      </c>
      <c r="AX21" s="15">
        <f>AV21</f>
        <v>7.2810909178233514</v>
      </c>
      <c r="AY21" s="15">
        <f>($I21/AX21)/1000</f>
        <v>3.1151223298953278E-3</v>
      </c>
      <c r="AZ21" s="24">
        <f>AW21-AY21+$J21</f>
        <v>6.1991428873626353E-2</v>
      </c>
      <c r="BA21" s="16">
        <f>AZ21/$D21</f>
        <v>6.1991428873626353E-2</v>
      </c>
      <c r="BB21" s="14">
        <f>AW21*$S$10</f>
        <v>19.399917517313447</v>
      </c>
      <c r="BC21" s="14">
        <f>AY21*$M21*$T$7*$D$11</f>
        <v>4.4843278859112816</v>
      </c>
      <c r="BD21" s="14">
        <f>BB21-BC21+$K21</f>
        <v>290.68608963140213</v>
      </c>
      <c r="BE21" s="44">
        <f>BD21/$D21</f>
        <v>290.68608963140213</v>
      </c>
      <c r="BF21" s="43">
        <f>83+15</f>
        <v>98</v>
      </c>
      <c r="BG21" s="15">
        <f>$H$3+$H$4*BF21+$H$5*($G21/$H21)+$H$6*BF21^2+$H$7*($G21/$H21)^2+$H$8*BF21*($G21/$H21)+$H$9*BF21^3+$H$10*($G21/$H21)^3+$H$11*BF21*($G21/$H21)^2+$H$12*BF21^2*($G21/$H21)</f>
        <v>7.8348543036092462</v>
      </c>
      <c r="BH21" s="15">
        <f>$G$21/(BG21*1000)</f>
        <v>6.0931376092359301E-3</v>
      </c>
      <c r="BI21" s="15">
        <f>BG21</f>
        <v>7.8348543036092462</v>
      </c>
      <c r="BJ21" s="15">
        <f>($I21/BI21)/1000</f>
        <v>2.894947120287995E-3</v>
      </c>
      <c r="BK21" s="24">
        <f>BH21-BJ21+$J21</f>
        <v>6.1748190488947932E-2</v>
      </c>
      <c r="BL21" s="16">
        <f>BK21/$D21</f>
        <v>6.1748190488947932E-2</v>
      </c>
      <c r="BM21" s="14">
        <f>BH21*$T$10</f>
        <v>18.461355769661139</v>
      </c>
      <c r="BN21" s="14">
        <f>BJ21*$M21*$U$7*$D$11</f>
        <v>4.0813232453019461</v>
      </c>
      <c r="BO21" s="14">
        <f>BM21-BN21+$K21</f>
        <v>290.15053252435916</v>
      </c>
      <c r="BP21" s="44">
        <f>BO21/$D21</f>
        <v>290.15053252435916</v>
      </c>
      <c r="BQ21" s="43">
        <f>86+15</f>
        <v>101</v>
      </c>
      <c r="BR21" s="15">
        <f>$H$3+$H$4*BQ21+$H$5*($G21/$H21)+$H$6*BQ21^2+$H$7*($G21/$H21)^2+$H$8*BQ21*($G21/$H21)+$H$9*BQ21^3+$H$10*($G21/$H21)^3+$H$11*BQ21*($G21/$H21)^2+$H$12*BQ21^2*($G21/$H21)</f>
        <v>7.4997676382165324</v>
      </c>
      <c r="BS21" s="15">
        <f>$G$21/(BR21*1000)</f>
        <v>6.3653765987285865E-3</v>
      </c>
      <c r="BT21" s="15">
        <f>BR21</f>
        <v>7.4997676382165324</v>
      </c>
      <c r="BU21" s="15">
        <f>($I21/BT21)/1000</f>
        <v>3.0242922178724081E-3</v>
      </c>
      <c r="BV21" s="24">
        <f>BS21-BU21+$J21</f>
        <v>6.1891084380856179E-2</v>
      </c>
      <c r="BW21" s="16">
        <f>BV21/$D21</f>
        <v>6.1891084380856179E-2</v>
      </c>
      <c r="BX21" s="14">
        <f>BS21*$U$10</f>
        <v>18.887949457976365</v>
      </c>
      <c r="BY21" s="14">
        <f>BU21*$M21*$V$7*$D$11</f>
        <v>4.411069799694034</v>
      </c>
      <c r="BZ21" s="14">
        <f>BX21-BY21+$K21</f>
        <v>290.24737965828228</v>
      </c>
      <c r="CA21" s="44">
        <f>BZ21/$D21</f>
        <v>290.24737965828228</v>
      </c>
      <c r="CB21" s="43">
        <f>83+15</f>
        <v>98</v>
      </c>
      <c r="CC21" s="15">
        <f>$H$3+$H$4*CB21+$H$5*($G21/$H21)+$H$6*CB21^2+$H$7*($G21/$H21)^2+$H$8*CB21*($G21/$H21)+$H$9*CB21^3+$H$10*($G21/$H21)^3+$H$11*CB21*($G21/$H21)^2+$H$12*CB21^2*($G21/$H21)</f>
        <v>7.8348543036092462</v>
      </c>
      <c r="CD21" s="15">
        <f>$G$21/(CC21*1000)</f>
        <v>6.0931376092359301E-3</v>
      </c>
      <c r="CE21" s="15">
        <f>CC21</f>
        <v>7.8348543036092462</v>
      </c>
      <c r="CF21" s="15">
        <f>($I21/CE21)/1000</f>
        <v>2.894947120287995E-3</v>
      </c>
      <c r="CG21" s="24">
        <f>CD21-CF21+$J21</f>
        <v>6.1748190488947932E-2</v>
      </c>
      <c r="CH21" s="16">
        <f>CG21/$D21</f>
        <v>6.1748190488947932E-2</v>
      </c>
      <c r="CI21" s="14">
        <f>CD21*$V$10</f>
        <v>18.705163806359259</v>
      </c>
      <c r="CJ21" s="14">
        <f>CF21*$M21*$W$7*$D$11</f>
        <v>4.2666543982541363</v>
      </c>
      <c r="CK21" s="14">
        <f>CI21-CJ21+$K21</f>
        <v>290.20900940810509</v>
      </c>
      <c r="CL21" s="44">
        <f>CK21/$D21</f>
        <v>290.20900940810509</v>
      </c>
      <c r="CM21" s="43">
        <f>89+15</f>
        <v>104</v>
      </c>
      <c r="CN21" s="15">
        <f>$H$3+$H$4*CM21+$H$5*($G21/$H21)+$H$6*CM21^2+$H$7*($G21/$H21)^2+$H$8*CM21*($G21/$H21)+$H$9*CM21^3+$H$10*($G21/$H21)^3+$H$11*CM21*($G21/$H21)^2+$H$12*CM21^2*($G21/$H21)</f>
        <v>7.1731404854674139</v>
      </c>
      <c r="CO21" s="15">
        <f>$G$21/(CN21*1000)</f>
        <v>6.6552224255084745E-3</v>
      </c>
      <c r="CP21" s="15">
        <f>CN21</f>
        <v>7.1731404854674139</v>
      </c>
      <c r="CQ21" s="15">
        <f>($I21/CP21)/1000</f>
        <v>3.1620026054225013E-3</v>
      </c>
      <c r="CR21" s="24">
        <f>CO21-CQ21+$J21</f>
        <v>6.2043219820085968E-2</v>
      </c>
      <c r="CS21" s="16">
        <f>CR21/$D21</f>
        <v>6.2043219820085968E-2</v>
      </c>
      <c r="CT21" s="14">
        <f>CO21*$W$10</f>
        <v>20.644756121350145</v>
      </c>
      <c r="CU21" s="14">
        <f>CQ21*$M21*$X$7*$D$11</f>
        <v>4.6398193674394204</v>
      </c>
      <c r="CV21" s="14">
        <f>CT21-CU21+$K21</f>
        <v>291.7754367539107</v>
      </c>
      <c r="CW21" s="44">
        <f>CV21/$D21</f>
        <v>291.7754367539107</v>
      </c>
      <c r="CX21" s="43">
        <f>96+15</f>
        <v>111</v>
      </c>
      <c r="CY21" s="15">
        <f>$H$3+$H$4*CX21+$H$5*($G21/$H21)+$H$6*CX21^2+$H$7*($G21/$H21)^2+$H$8*CX21*($G21/$H21)+$H$9*CX21^3+$H$10*($G21/$H21)^3+$H$11*CX21*($G21/$H21)^2+$H$12*CX21^2*($G21/$H21)</f>
        <v>6.4425744504920139</v>
      </c>
      <c r="CZ21" s="15">
        <f>$G$21/(CY21*1000)</f>
        <v>7.4099020177500162E-3</v>
      </c>
      <c r="DA21" s="15">
        <f>CY21</f>
        <v>6.4425744504920139</v>
      </c>
      <c r="DB21" s="15">
        <f>($I21/DA21)/1000</f>
        <v>3.5205629486171359E-3</v>
      </c>
      <c r="DC21" s="24">
        <f>CZ21-DB21+$J21</f>
        <v>6.2439339069132876E-2</v>
      </c>
      <c r="DD21" s="16">
        <f>DC21/$D21</f>
        <v>6.2439339069132876E-2</v>
      </c>
      <c r="DE21" s="14">
        <f>CZ21*$X$10</f>
        <v>22.885039505492493</v>
      </c>
      <c r="DF21" s="14">
        <f>DB21*$M21*$Y$7*$D$11</f>
        <v>5.1140161154789361</v>
      </c>
      <c r="DG21" s="14">
        <f>DE21-DF21+$K21</f>
        <v>293.54152339001354</v>
      </c>
      <c r="DH21" s="44">
        <f>DG21/$D21</f>
        <v>293.54152339001354</v>
      </c>
      <c r="DI21" s="43">
        <f>100+15</f>
        <v>115</v>
      </c>
      <c r="DJ21" s="15">
        <f>$H$3+$H$4*DI21+$H$5*($G21/$H21)+$H$6*DI21^2+$H$7*($G21/$H21)^2+$H$8*DI21*($G21/$H21)+$H$9*DI21^3+$H$10*($G21/$H21)^3+$H$11*DI21*($G21/$H21)^2+$H$12*DI21^2*($G21/$H21)</f>
        <v>6.0440452715600719</v>
      </c>
      <c r="DK21" s="15">
        <f>$G$21/(DJ21*1000)</f>
        <v>7.8984923631922541E-3</v>
      </c>
      <c r="DL21" s="15">
        <f>DJ21</f>
        <v>6.0440452715600719</v>
      </c>
      <c r="DM21" s="15">
        <f>($I21/DL21)/1000</f>
        <v>3.7527000353283434E-3</v>
      </c>
      <c r="DN21" s="24">
        <f>DK21-DM21+$J21</f>
        <v>6.2695792327863903E-2</v>
      </c>
      <c r="DO21" s="16">
        <f>DN21/$D21</f>
        <v>6.2695792327863903E-2</v>
      </c>
      <c r="DP21" s="14">
        <f>DK21*$Y$10</f>
        <v>24.148743136338016</v>
      </c>
      <c r="DQ21" s="14">
        <f>DM21*$M21*$Z$7*$D$11</f>
        <v>5.3927738980820044</v>
      </c>
      <c r="DR21" s="14">
        <f>DP21-DQ21+$K21</f>
        <v>294.52646923825597</v>
      </c>
      <c r="DS21" s="44">
        <f>DR21/$D21</f>
        <v>294.52646923825597</v>
      </c>
      <c r="DT21" s="43">
        <f>104+15</f>
        <v>119</v>
      </c>
      <c r="DU21" s="15">
        <f>$H$3+$H$4*DT21+$H$5*($G21/$H21)+$H$6*DT21^2+$H$7*($G21/$H21)^2+$H$8*DT21*($G21/$H21)+$H$9*DT21^3+$H$10*($G21/$H21)^3+$H$11*DT21*($G21/$H21)^2+$H$12*DT21^2*($G21/$H21)</f>
        <v>5.6585848385945301</v>
      </c>
      <c r="DV21" s="15">
        <f>$G$21/(DU21*1000)</f>
        <v>8.4365343600755795E-3</v>
      </c>
      <c r="DW21" s="15">
        <f>DU21</f>
        <v>5.6585848385945301</v>
      </c>
      <c r="DX21" s="15">
        <f>($I21/DW21)/1000</f>
        <v>4.0083323924755675E-3</v>
      </c>
      <c r="DY21" s="24">
        <f>DV21-DX21+$J21</f>
        <v>6.2978201967600012E-2</v>
      </c>
      <c r="DZ21" s="16">
        <f>DY21/$D21</f>
        <v>6.2978201967600012E-2</v>
      </c>
      <c r="EA21" s="14">
        <f>DV21*$Z$10</f>
        <v>25.517186725122254</v>
      </c>
      <c r="EB21" s="14">
        <f>DX21*$M21*$AA$7*$D$11</f>
        <v>5.5537547515260908</v>
      </c>
      <c r="EC21" s="14">
        <f>EA21-EB21+$K21</f>
        <v>295.73393197359616</v>
      </c>
      <c r="ED21" s="44">
        <f>EC21/$D21</f>
        <v>295.73393197359616</v>
      </c>
      <c r="EE21" s="43">
        <f>100+15</f>
        <v>115</v>
      </c>
      <c r="EF21" s="15">
        <f>$H$3+$H$4*EE21+$H$5*($G21/$H21)+$H$6*EE21^2+$H$7*($G21/$H21)^2+$H$8*EE21*($G21/$H21)+$H$9*EE21^3+$H$10*($G21/$H21)^3+$H$11*EE21*($G21/$H21)^2+$H$12*EE21^2*($G21/$H21)</f>
        <v>6.0440452715600719</v>
      </c>
      <c r="EG21" s="15">
        <f>$G$21/(EF21*1000)</f>
        <v>7.8984923631922541E-3</v>
      </c>
      <c r="EH21" s="15">
        <f>EF21</f>
        <v>6.0440452715600719</v>
      </c>
      <c r="EI21" s="15">
        <f>($I21/EH21)/1000</f>
        <v>3.7527000353283434E-3</v>
      </c>
      <c r="EJ21" s="24">
        <f>EG21-EI21+$J21</f>
        <v>6.2695792327863903E-2</v>
      </c>
      <c r="EK21" s="16">
        <f>EJ21/$D21</f>
        <v>6.2695792327863903E-2</v>
      </c>
      <c r="EL21" s="14">
        <f>EG21*$AA$10</f>
        <v>23.033902450559889</v>
      </c>
      <c r="EM21" s="14">
        <f>EI21*$M21*$AB$7*$D$11</f>
        <v>5.2812653086262396</v>
      </c>
      <c r="EN21" s="14">
        <f>EL21-EM21+$K21</f>
        <v>293.5231371419336</v>
      </c>
      <c r="EO21" s="44">
        <f>EN21/$D21</f>
        <v>293.5231371419336</v>
      </c>
      <c r="EP21" s="43">
        <f>101+15</f>
        <v>116</v>
      </c>
      <c r="EQ21" s="15">
        <f>$H$3+$H$4*EP21+$H$5*($G21/$H21)+$H$6*EP21^2+$H$7*($G21/$H21)^2+$H$8*EP21*($G21/$H21)+$H$9*EP21^3+$H$10*($G21/$H21)^3+$H$11*EP21*($G21/$H21)^2+$H$12*EP21^2*($G21/$H21)</f>
        <v>5.9464769593176214</v>
      </c>
      <c r="ER21" s="15">
        <f>$G$21/(EQ21*1000)</f>
        <v>8.0280888577904577E-3</v>
      </c>
      <c r="ES21" s="15">
        <f>EQ21</f>
        <v>5.9464769593176214</v>
      </c>
      <c r="ET21" s="15">
        <f>($I21/ES21)/1000</f>
        <v>3.8142734024336263E-3</v>
      </c>
      <c r="EU21" s="24">
        <f>ER21-ET21+$J21</f>
        <v>6.2763815455356836E-2</v>
      </c>
      <c r="EV21" s="16">
        <f>EU21/$D21</f>
        <v>6.2763815455356836E-2</v>
      </c>
      <c r="EW21" s="14">
        <f>ER21*$AB$10</f>
        <v>23.779715578754836</v>
      </c>
      <c r="EX21" s="14">
        <f>ET21*$M21*$AC$7*$D$11</f>
        <v>5.4914661426575773</v>
      </c>
      <c r="EY21" s="14">
        <f>EW21-EX21+$K21</f>
        <v>294.05874943609723</v>
      </c>
      <c r="EZ21" s="44">
        <f>EY21/$D21</f>
        <v>294.05874943609723</v>
      </c>
      <c r="FA21" s="43">
        <f>103+15</f>
        <v>118</v>
      </c>
      <c r="FB21" s="15">
        <f>$H$3+$H$4*FA21+$H$5*($G21/$H21)+$H$6*FA21^2+$H$7*($G21/$H21)^2+$H$8*FA21*($G21/$H21)+$H$9*FA21^3+$H$10*($G21/$H21)^3+$H$11*FA21*($G21/$H21)^2+$H$12*FA21^2*($G21/$H21)</f>
        <v>5.753755539208159</v>
      </c>
      <c r="FC21" s="15">
        <f>$G$21/(FB21*1000)</f>
        <v>8.2969888266708289E-3</v>
      </c>
      <c r="FD21" s="15">
        <f>FB21</f>
        <v>5.753755539208159</v>
      </c>
      <c r="FE21" s="15">
        <f>($I21/FD21)/1000</f>
        <v>3.9420320779271507E-3</v>
      </c>
      <c r="FF21" s="24">
        <f>FC21-FE21+$J21</f>
        <v>6.2904956748743676E-2</v>
      </c>
      <c r="FG21" s="16">
        <f>FF21/$D21</f>
        <v>6.2904956748743676E-2</v>
      </c>
      <c r="FH21" s="14">
        <f>FC21*$AC$10</f>
        <v>25.14185673260415</v>
      </c>
      <c r="FI21" s="14">
        <f>FE21*$M21*$AD$7*$D$11</f>
        <v>5.6133084919238732</v>
      </c>
      <c r="FJ21" s="14">
        <f>FH21-FI21+$K21</f>
        <v>295.29904824068024</v>
      </c>
      <c r="FK21" s="44">
        <f>FJ21/$D21</f>
        <v>295.29904824068024</v>
      </c>
      <c r="FL21" s="43">
        <f>113+15</f>
        <v>128</v>
      </c>
      <c r="FM21" s="15">
        <f>$H$3+$H$4*FL21+$H$5*($G21/$H21)+$H$6*FL21^2+$H$7*($G21/$H21)^2+$H$8*FL21*($G21/$H21)+$H$9*FL21^3+$H$10*($G21/$H21)^3+$H$11*FL21*($G21/$H21)^2+$H$12*FL21^2*($G21/$H21)</f>
        <v>4.8361654691082929</v>
      </c>
      <c r="FN21" s="15">
        <f>$G$21/(FM21*1000)</f>
        <v>9.8712183702448272E-3</v>
      </c>
      <c r="FO21" s="15">
        <f>FM21</f>
        <v>4.8361654691082929</v>
      </c>
      <c r="FP21" s="15">
        <f>($I21/FO21)/1000</f>
        <v>4.689973709334572E-3</v>
      </c>
      <c r="FQ21" s="24">
        <f>FN21-FP21+$J21</f>
        <v>6.373124466091025E-2</v>
      </c>
      <c r="FR21" s="16">
        <f>FQ21/$D21</f>
        <v>6.373124466091025E-2</v>
      </c>
      <c r="FS21" s="14">
        <f>FN21*$AD$10</f>
        <v>29.584883755970171</v>
      </c>
      <c r="FT21" s="14">
        <f>FP21*$M21*$AE$7*$D$11</f>
        <v>7.3694598097483262</v>
      </c>
      <c r="FU21" s="14">
        <f>FS21-FT21+$K21</f>
        <v>297.98592394622182</v>
      </c>
      <c r="FV21" s="44">
        <f>FU21/$D21</f>
        <v>297.98592394622182</v>
      </c>
      <c r="FW21" s="43">
        <f>85+15</f>
        <v>100</v>
      </c>
      <c r="FX21" s="15">
        <f>$H$3+$H$4*FW21+$H$5*($G21/$H21)+$H$6*FW21^2+$H$7*($G21/$H21)^2+$H$8*FW21*($G21/$H21)+$H$9*FW21^3+$H$10*($G21/$H21)^3+$H$11*FW21*($G21/$H21)^2+$H$12*FW21^2*($G21/$H21)</f>
        <v>7.6105115190004007</v>
      </c>
      <c r="FY21" s="15">
        <f>$G$21/(FX21*1000)</f>
        <v>6.2727512206007035E-3</v>
      </c>
      <c r="FZ21" s="15">
        <f>FX21</f>
        <v>7.6105115190004007</v>
      </c>
      <c r="GA21" s="15">
        <f>($I21/FZ21)/1000</f>
        <v>2.9802844194484158E-3</v>
      </c>
      <c r="GB21" s="24">
        <f>FY21-GA21+$J21</f>
        <v>6.1842466801152282E-2</v>
      </c>
      <c r="GC21" s="16">
        <f>GB21/$D21</f>
        <v>6.1842466801152282E-2</v>
      </c>
      <c r="GD21" s="14">
        <f>FY21*$AE$10</f>
        <v>20.745488292253192</v>
      </c>
      <c r="GE21" s="14">
        <f>GA21*$M21*$AF$7*$D$11</f>
        <v>3.9138638322828978</v>
      </c>
      <c r="GF21" s="14">
        <f>GD21-GE21+$K21</f>
        <v>292.60212445997024</v>
      </c>
      <c r="GG21" s="44">
        <f>GF21/$D21</f>
        <v>292.60212445997024</v>
      </c>
    </row>
    <row r="22" spans="2:202" ht="13.8" x14ac:dyDescent="0.25">
      <c r="B22" s="31" t="s">
        <v>145</v>
      </c>
      <c r="C22" s="3" t="s">
        <v>156</v>
      </c>
      <c r="D22" s="3">
        <v>1</v>
      </c>
      <c r="E22" s="3">
        <v>0</v>
      </c>
      <c r="F22" s="3">
        <f>E22-10</f>
        <v>-10</v>
      </c>
      <c r="G22" s="11">
        <f>'Cooling Load'!C33</f>
        <v>47.738845420205479</v>
      </c>
      <c r="H22" s="14">
        <f>G22*1.15</f>
        <v>54.899672233236295</v>
      </c>
      <c r="I22" s="14">
        <f>'Cooling Load'!G33</f>
        <v>22.681488904109589</v>
      </c>
      <c r="J22" s="110">
        <f>'Cooling Load'!G20</f>
        <v>5.8549999999999998E-2</v>
      </c>
      <c r="K22" s="109">
        <f>'Cooling Load'!G26</f>
        <v>275.77049999999997</v>
      </c>
      <c r="L22" s="98">
        <f>I22/H22</f>
        <v>0.41314434096708874</v>
      </c>
      <c r="M22" s="97">
        <f>(1-(1-L22))*(1-$E$8)</f>
        <v>0.37182990687037987</v>
      </c>
      <c r="N22" s="43">
        <f>69+10</f>
        <v>79</v>
      </c>
      <c r="O22" s="15">
        <f>$I$3+$I$4*N22+$I$5*($G22/$H22)+$I$6*N22^2+$I$7*($G22/$H22)^2+$I$8*N22*($G22/$H22)+$I$9*N22^3+$I$10*($G22/$H22)^3+$I$11*N22*($G22/$H22)^2+$I$12*N22^2*($G22/$H22)</f>
        <v>7.738621286416917</v>
      </c>
      <c r="P22" s="15">
        <f>$G$22/(O22*1000)</f>
        <v>6.1689083434019795E-3</v>
      </c>
      <c r="Q22" s="15">
        <f>O22</f>
        <v>7.738621286416917</v>
      </c>
      <c r="R22" s="15">
        <f>($I22/Q22)/1000</f>
        <v>2.9309470078243637E-3</v>
      </c>
      <c r="S22" s="24">
        <f>P22-R22+$J22</f>
        <v>6.1787961335577617E-2</v>
      </c>
      <c r="T22" s="16">
        <f>S22/$D22</f>
        <v>6.1787961335577617E-2</v>
      </c>
      <c r="U22" s="14">
        <f>P22*$Q$11</f>
        <v>16.885803320296624</v>
      </c>
      <c r="V22" s="14">
        <f>R22*$M22*$Q$7*$E$11</f>
        <v>3.8117202903192755</v>
      </c>
      <c r="W22" s="14">
        <f>U22-V22+$K22</f>
        <v>288.84458302997734</v>
      </c>
      <c r="X22" s="44">
        <f>W22/$D22</f>
        <v>288.84458302997734</v>
      </c>
      <c r="Y22" s="43">
        <f>96+10</f>
        <v>106</v>
      </c>
      <c r="Z22" s="15">
        <f>$I$3+$I$4*Y22+$I$5*($G22/$H22)+$I$6*Y22^2+$I$7*($G22/$H22)^2+$I$8*Y22*($G22/$H22)+$I$9*Y22^3+$I$10*($G22/$H22)^3+$I$11*Y22*($G22/$H22)^2+$I$12*Y22^2*($G22/$H22)</f>
        <v>4.9787525693054056</v>
      </c>
      <c r="AA22" s="15">
        <f>$G$22/(Z22*1000)</f>
        <v>9.5885153471014142E-3</v>
      </c>
      <c r="AB22" s="15">
        <f>Z22</f>
        <v>4.9787525693054056</v>
      </c>
      <c r="AC22" s="15">
        <f>($I22/AB22)/1000</f>
        <v>4.5556569820206835E-3</v>
      </c>
      <c r="AD22" s="24">
        <f>AA22-AC22+$J22</f>
        <v>6.3582858365080736E-2</v>
      </c>
      <c r="AE22" s="16">
        <f>AD22/$D22</f>
        <v>6.3582858365080736E-2</v>
      </c>
      <c r="AF22" s="14">
        <f>AA22*$R$11</f>
        <v>26.438150693300233</v>
      </c>
      <c r="AG22" s="14">
        <f>AC22*$M22*$R$7*$E$11</f>
        <v>5.9680213919725338</v>
      </c>
      <c r="AH22" s="14">
        <f>AF22-AG22+$K22</f>
        <v>296.24062930132766</v>
      </c>
      <c r="AI22" s="44">
        <f>AH22/$D22</f>
        <v>296.24062930132766</v>
      </c>
      <c r="AJ22" s="43">
        <f>89+10</f>
        <v>99</v>
      </c>
      <c r="AK22" s="15">
        <f>$I$3+$I$4*AJ22+$I$5*($G22/$H22)+$I$6*AJ22^2+$I$7*($G22/$H22)^2+$I$8*AJ22*($G22/$H22)+$I$9*AJ22^3+$I$10*($G22/$H22)^3+$I$11*AJ22*($G22/$H22)^2+$I$12*AJ22^2*($G22/$H22)</f>
        <v>5.5747757160485589</v>
      </c>
      <c r="AL22" s="15">
        <f>$G$22/(AK22*1000)</f>
        <v>8.5633661068688013E-3</v>
      </c>
      <c r="AM22" s="15">
        <f>AK22</f>
        <v>5.5747757160485589</v>
      </c>
      <c r="AN22" s="15">
        <f>($I22/AM22)/1000</f>
        <v>4.0685921836845461E-3</v>
      </c>
      <c r="AO22" s="24">
        <f>AL22-AN22+$J22</f>
        <v>6.304477392318425E-2</v>
      </c>
      <c r="AP22" s="16">
        <f>AO22/$D22</f>
        <v>6.304477392318425E-2</v>
      </c>
      <c r="AQ22" s="14">
        <f>AL22*$Q$11</f>
        <v>23.440016902656449</v>
      </c>
      <c r="AR22" s="14">
        <f>AN22*$M22*$S$7*$E$11</f>
        <v>5.4186005853537251</v>
      </c>
      <c r="AS22" s="14">
        <f>AQ22-AR22+$K22</f>
        <v>293.79191631730271</v>
      </c>
      <c r="AT22" s="44">
        <f>AS22/$D22</f>
        <v>293.79191631730271</v>
      </c>
      <c r="AU22" s="43">
        <f>88+10</f>
        <v>98</v>
      </c>
      <c r="AV22" s="15">
        <f>$I$3+$I$4*AU22+$I$5*($G22/$H22)+$I$6*AU22^2+$I$7*($G22/$H22)^2+$I$8*AU22*($G22/$H22)+$I$9*AU22^3+$I$10*($G22/$H22)^3+$I$11*AU22*($G22/$H22)^2+$I$12*AU22^2*($G22/$H22)</f>
        <v>5.6655989652080319</v>
      </c>
      <c r="AW22" s="178">
        <f>$G$22/(AV22*1000)</f>
        <v>8.4260897591526916E-3</v>
      </c>
      <c r="AX22" s="15">
        <f>AV22</f>
        <v>5.6655989652080319</v>
      </c>
      <c r="AY22" s="15">
        <f>($I22/AX22)/1000</f>
        <v>4.0033699955458746E-3</v>
      </c>
      <c r="AZ22" s="24">
        <f>AW22-AY22+$J22</f>
        <v>6.2972719763606813E-2</v>
      </c>
      <c r="BA22" s="16">
        <f>AZ22/$D22</f>
        <v>6.2972719763606813E-2</v>
      </c>
      <c r="BB22" s="14">
        <f>AW22*$S$11</f>
        <v>23.619429936679047</v>
      </c>
      <c r="BC22" s="14">
        <f>AY22*$M22*$T$7*$E$11</f>
        <v>5.4596762187185472</v>
      </c>
      <c r="BD22" s="14">
        <f>BB22-BC22+$K22</f>
        <v>293.93025371796045</v>
      </c>
      <c r="BE22" s="44">
        <f>BD22/$D22</f>
        <v>293.93025371796045</v>
      </c>
      <c r="BF22" s="43">
        <f>83+10</f>
        <v>93</v>
      </c>
      <c r="BG22" s="15">
        <f>$I$3+$I$4*BF22+$I$5*($G22/$H22)+$I$6*BF22^2+$I$7*($G22/$H22)^2+$I$8*BF22*($G22/$H22)+$I$9*BF22^3+$I$10*($G22/$H22)^3+$I$11*BF22*($G22/$H22)^2+$I$12*BF22^2*($G22/$H22)</f>
        <v>6.1439585132971359</v>
      </c>
      <c r="BH22" s="15">
        <f>$G$22/(BG22*1000)</f>
        <v>7.7700468381884597E-3</v>
      </c>
      <c r="BI22" s="15">
        <f>BG22</f>
        <v>6.1439585132971359</v>
      </c>
      <c r="BJ22" s="15">
        <f>($I22/BI22)/1000</f>
        <v>3.6916735122837995E-3</v>
      </c>
      <c r="BK22" s="24">
        <f>BH22-BJ22+$J22</f>
        <v>6.2628373325904652E-2</v>
      </c>
      <c r="BL22" s="16">
        <f>BK22/$D22</f>
        <v>6.2628373325904652E-2</v>
      </c>
      <c r="BM22" s="14">
        <f>BH22*$T$11</f>
        <v>22.303095608887975</v>
      </c>
      <c r="BN22" s="14">
        <f>BJ22*$M22*$U$7*$E$11</f>
        <v>4.9306315140915054</v>
      </c>
      <c r="BO22" s="14">
        <f>BM22-BN22+$K22</f>
        <v>293.14296409479641</v>
      </c>
      <c r="BP22" s="44">
        <f>BO22/$D22</f>
        <v>293.14296409479641</v>
      </c>
      <c r="BQ22" s="43">
        <f>86+10</f>
        <v>96</v>
      </c>
      <c r="BR22" s="15">
        <f>$I$3+$I$4*BQ22+$I$5*($G22/$H22)+$I$6*BQ22^2+$I$7*($G22/$H22)^2+$I$8*BQ22*($G22/$H22)+$I$9*BQ22^3+$I$10*($G22/$H22)^3+$I$11*BQ22*($G22/$H22)^2+$I$12*BQ22^2*($G22/$H22)</f>
        <v>5.8519577748036093</v>
      </c>
      <c r="BS22" s="15">
        <f>$G$22/(BR22*1000)</f>
        <v>8.1577563026431071E-3</v>
      </c>
      <c r="BT22" s="15">
        <f>BR22</f>
        <v>5.8519577748036093</v>
      </c>
      <c r="BU22" s="15">
        <f>($I22/BT22)/1000</f>
        <v>3.8758804791394407E-3</v>
      </c>
      <c r="BV22" s="24">
        <f>BS22-BU22+$J22</f>
        <v>6.2831875823503663E-2</v>
      </c>
      <c r="BW22" s="16">
        <f>BV22/$D22</f>
        <v>6.2831875823503663E-2</v>
      </c>
      <c r="BX22" s="14">
        <f>BS22*$U$11</f>
        <v>22.932443932453491</v>
      </c>
      <c r="BY22" s="14">
        <f>BU22*$M22*$V$7*$E$11</f>
        <v>5.3556163462150685</v>
      </c>
      <c r="BZ22" s="14">
        <f>BX22-BY22+$K22</f>
        <v>293.34732758623841</v>
      </c>
      <c r="CA22" s="44">
        <f>BZ22/$D22</f>
        <v>293.34732758623841</v>
      </c>
      <c r="CB22" s="43">
        <f>83+10</f>
        <v>93</v>
      </c>
      <c r="CC22" s="15">
        <f>$I$3+$I$4*CB22+$I$5*($G22/$H22)+$I$6*CB22^2+$I$7*($G22/$H22)^2+$I$8*CB22*($G22/$H22)+$I$9*CB22^3+$I$10*($G22/$H22)^3+$I$11*CB22*($G22/$H22)^2+$I$12*CB22^2*($G22/$H22)</f>
        <v>6.1439585132971359</v>
      </c>
      <c r="CD22" s="15">
        <f>$G$22/(CC22*1000)</f>
        <v>7.7700468381884597E-3</v>
      </c>
      <c r="CE22" s="15">
        <f>CC22</f>
        <v>6.1439585132971359</v>
      </c>
      <c r="CF22" s="15">
        <f>($I22/CE22)/1000</f>
        <v>3.6916735122837995E-3</v>
      </c>
      <c r="CG22" s="24">
        <f>CD22-CF22+$J22</f>
        <v>6.2628373325904652E-2</v>
      </c>
      <c r="CH22" s="16">
        <f>CG22/$D22</f>
        <v>6.2628373325904652E-2</v>
      </c>
      <c r="CI22" s="14">
        <f>CD22*$V$11</f>
        <v>22.597639196072915</v>
      </c>
      <c r="CJ22" s="14">
        <f>CF22*$M22*$W$7*$E$11</f>
        <v>5.1545293943539585</v>
      </c>
      <c r="CK22" s="14">
        <f>CI22-CJ22+$K22</f>
        <v>293.21360980171892</v>
      </c>
      <c r="CL22" s="44">
        <f>CK22/$D22</f>
        <v>293.21360980171892</v>
      </c>
      <c r="CM22" s="43">
        <f>89+10</f>
        <v>99</v>
      </c>
      <c r="CN22" s="15">
        <f>$I$3+$I$4*CM22+$I$5*($G22/$H22)+$I$6*CM22^2+$I$7*($G22/$H22)^2+$I$8*CM22*($G22/$H22)+$I$9*CM22^3+$I$10*($G22/$H22)^3+$I$11*CM22*($G22/$H22)^2+$I$12*CM22^2*($G22/$H22)</f>
        <v>5.5747757160485589</v>
      </c>
      <c r="CO22" s="15">
        <f>$G$22/(CN22*1000)</f>
        <v>8.5633661068688013E-3</v>
      </c>
      <c r="CP22" s="15">
        <f>CN22</f>
        <v>5.5747757160485589</v>
      </c>
      <c r="CQ22" s="15">
        <f>($I22/CP22)/1000</f>
        <v>4.0685921836845461E-3</v>
      </c>
      <c r="CR22" s="24">
        <f>CO22-CQ22+$J22</f>
        <v>6.304477392318425E-2</v>
      </c>
      <c r="CS22" s="16">
        <f>CR22/$D22</f>
        <v>6.304477392318425E-2</v>
      </c>
      <c r="CT22" s="14">
        <f>CO22*$W$11</f>
        <v>25.165791724529782</v>
      </c>
      <c r="CU22" s="14">
        <f>CQ22*$M22*$X$7*$E$11</f>
        <v>5.6559025039615536</v>
      </c>
      <c r="CV22" s="14">
        <f>CT22-CU22+$K22</f>
        <v>295.28038922056822</v>
      </c>
      <c r="CW22" s="44">
        <f>CV22/$D22</f>
        <v>295.28038922056822</v>
      </c>
      <c r="CX22" s="43">
        <f>96+10</f>
        <v>106</v>
      </c>
      <c r="CY22" s="15">
        <f>$I$3+$I$4*CX22+$I$5*($G22/$H22)+$I$6*CX22^2+$I$7*($G22/$H22)^2+$I$8*CX22*($G22/$H22)+$I$9*CX22^3+$I$10*($G22/$H22)^3+$I$11*CX22*($G22/$H22)^2+$I$12*CX22^2*($G22/$H22)</f>
        <v>4.9787525693054056</v>
      </c>
      <c r="CZ22" s="15">
        <f>$G$22/(CY22*1000)</f>
        <v>9.5885153471014142E-3</v>
      </c>
      <c r="DA22" s="15">
        <f>CY22</f>
        <v>4.9787525693054056</v>
      </c>
      <c r="DB22" s="15">
        <f>($I22/DA22)/1000</f>
        <v>4.5556569820206835E-3</v>
      </c>
      <c r="DC22" s="24">
        <f>CZ22-DB22+$J22</f>
        <v>6.3582858365080736E-2</v>
      </c>
      <c r="DD22" s="16">
        <f>DC22/$D22</f>
        <v>6.3582858365080736E-2</v>
      </c>
      <c r="DE22" s="14">
        <f>CZ22*$X$11</f>
        <v>28.054948321372969</v>
      </c>
      <c r="DF22" s="14">
        <f>DB22*$M22*$Y$7*$E$11</f>
        <v>6.2693122203261167</v>
      </c>
      <c r="DG22" s="14">
        <f>DE22-DF22+$K22</f>
        <v>297.55613610104683</v>
      </c>
      <c r="DH22" s="44">
        <f>DG22/$D22</f>
        <v>297.55613610104683</v>
      </c>
      <c r="DI22" s="43">
        <f>100+10</f>
        <v>110</v>
      </c>
      <c r="DJ22" s="15">
        <f>$I$3+$I$4*DI22+$I$5*($G22/$H22)+$I$6*DI22^2+$I$7*($G22/$H22)^2+$I$8*DI22*($G22/$H22)+$I$9*DI22^3+$I$10*($G22/$H22)^3+$I$11*DI22*($G22/$H22)^2+$I$12*DI22^2*($G22/$H22)</f>
        <v>4.6653923073913601</v>
      </c>
      <c r="DK22" s="15">
        <f>$G$22/(DJ22*1000)</f>
        <v>1.0232546863116535E-2</v>
      </c>
      <c r="DL22" s="15">
        <f>DJ22</f>
        <v>4.6653923073913601</v>
      </c>
      <c r="DM22" s="15">
        <f>($I22/DL22)/1000</f>
        <v>4.8616466547037017E-3</v>
      </c>
      <c r="DN22" s="24">
        <f>DK22-DM22+$J22</f>
        <v>6.3920900208412831E-2</v>
      </c>
      <c r="DO22" s="16">
        <f>DN22/$D22</f>
        <v>6.3920900208412831E-2</v>
      </c>
      <c r="DP22" s="14">
        <f>DK22*$Y$11</f>
        <v>29.638278589857777</v>
      </c>
      <c r="DQ22" s="14">
        <f>DM22*$M22*$Z$7*$E$11</f>
        <v>6.6186688997059404</v>
      </c>
      <c r="DR22" s="14">
        <f>DP22-DQ22+$K22</f>
        <v>298.79010969015178</v>
      </c>
      <c r="DS22" s="44">
        <f>DR22/$D22</f>
        <v>298.79010969015178</v>
      </c>
      <c r="DT22" s="43">
        <f>104+10</f>
        <v>114</v>
      </c>
      <c r="DU22" s="15">
        <f>$I$3+$I$4*DT22+$I$5*($G22/$H22)+$I$6*DT22^2+$I$7*($G22/$H22)^2+$I$8*DT22*($G22/$H22)+$I$9*DT22^3+$I$10*($G22/$H22)^3+$I$11*DT22*($G22/$H22)^2+$I$12*DT22^2*($G22/$H22)</f>
        <v>4.3681956261112722</v>
      </c>
      <c r="DV22" s="15">
        <f>$G$22/(DU22*1000)</f>
        <v>1.0928733396197357E-2</v>
      </c>
      <c r="DW22" s="15">
        <f>DU22</f>
        <v>4.3681956261112722</v>
      </c>
      <c r="DX22" s="15">
        <f>($I22/DW22)/1000</f>
        <v>5.1924160100635152E-3</v>
      </c>
      <c r="DY22" s="24">
        <f>DV22-DX22+$J22</f>
        <v>6.4286317386133843E-2</v>
      </c>
      <c r="DZ22" s="16">
        <f>DY22/$D22</f>
        <v>6.4286317386133843E-2</v>
      </c>
      <c r="EA22" s="14">
        <f>DV22*$Z$11</f>
        <v>31.315362814779302</v>
      </c>
      <c r="EB22" s="14">
        <f>DX22*$M22*$AA$7*$E$11</f>
        <v>6.8157139304513485</v>
      </c>
      <c r="EC22" s="14">
        <f>EA22-EB22+$K22</f>
        <v>300.27014888432791</v>
      </c>
      <c r="ED22" s="44">
        <f>EC22/$D22</f>
        <v>300.27014888432791</v>
      </c>
      <c r="EE22" s="43">
        <f>100+10</f>
        <v>110</v>
      </c>
      <c r="EF22" s="15">
        <f>$I$3+$I$4*EE22+$I$5*($G22/$H22)+$I$6*EE22^2+$I$7*($G22/$H22)^2+$I$8*EE22*($G22/$H22)+$I$9*EE22^3+$I$10*($G22/$H22)^3+$I$11*EE22*($G22/$H22)^2+$I$12*EE22^2*($G22/$H22)</f>
        <v>4.6653923073913601</v>
      </c>
      <c r="EG22" s="15">
        <f>$G$22/(EF22*1000)</f>
        <v>1.0232546863116535E-2</v>
      </c>
      <c r="EH22" s="15">
        <f>EF22</f>
        <v>4.6653923073913601</v>
      </c>
      <c r="EI22" s="15">
        <f>($I22/EH22)/1000</f>
        <v>4.8616466547037017E-3</v>
      </c>
      <c r="EJ22" s="24">
        <f>EG22-EI22+$J22</f>
        <v>6.3920900208412831E-2</v>
      </c>
      <c r="EK22" s="16">
        <f>EJ22/$D22</f>
        <v>6.3920900208412831E-2</v>
      </c>
      <c r="EL22" s="14">
        <f>EG22*$AA$11</f>
        <v>28.270010326708292</v>
      </c>
      <c r="EM22" s="14">
        <f>EI22*$M22*$AB$7*$E$11</f>
        <v>6.4818119783832344</v>
      </c>
      <c r="EN22" s="14">
        <f>EL22-EM22+$K22</f>
        <v>297.55869834832504</v>
      </c>
      <c r="EO22" s="44">
        <f>EN22/$D22</f>
        <v>297.55869834832504</v>
      </c>
      <c r="EP22" s="43">
        <f>101+10</f>
        <v>111</v>
      </c>
      <c r="EQ22" s="15">
        <f>$I$3+$I$4*EP22+$I$5*($G22/$H22)+$I$6*EP22^2+$I$7*($G22/$H22)^2+$I$8*EP22*($G22/$H22)+$I$9*EP22^3+$I$10*($G22/$H22)^3+$I$11*EP22*($G22/$H22)^2+$I$12*EP22^2*($G22/$H22)</f>
        <v>4.5896914257050021</v>
      </c>
      <c r="ER22" s="15">
        <f>$G$22/(EQ22*1000)</f>
        <v>1.0401319172099358E-2</v>
      </c>
      <c r="ES22" s="15">
        <f>EQ22</f>
        <v>4.5896914257050021</v>
      </c>
      <c r="ET22" s="15">
        <f>($I22/ES22)/1000</f>
        <v>4.9418330777271343E-3</v>
      </c>
      <c r="EU22" s="24">
        <f>ER22-ET22+$J22</f>
        <v>6.4009486094372223E-2</v>
      </c>
      <c r="EV22" s="16">
        <f>EU22/$D22</f>
        <v>6.4009486094372223E-2</v>
      </c>
      <c r="EW22" s="14">
        <f>ER22*$AB$11</f>
        <v>29.187830293044428</v>
      </c>
      <c r="EX22" s="14">
        <f>ET22*$M22*$AC$7*$E$11</f>
        <v>6.7403658088782512</v>
      </c>
      <c r="EY22" s="14">
        <f>EW22-EX22+$K22</f>
        <v>298.21796448416615</v>
      </c>
      <c r="EZ22" s="44">
        <f>EY22/$D22</f>
        <v>298.21796448416615</v>
      </c>
      <c r="FA22" s="43">
        <f>103+10</f>
        <v>113</v>
      </c>
      <c r="FB22" s="15">
        <f>$I$3+$I$4*FA22+$I$5*($G22/$H22)+$I$6*FA22^2+$I$7*($G22/$H22)^2+$I$8*FA22*($G22/$H22)+$I$9*FA22^3+$I$10*($G22/$H22)^3+$I$11*FA22*($G22/$H22)^2+$I$12*FA22^2*($G22/$H22)</f>
        <v>4.4411385347921915</v>
      </c>
      <c r="FC22" s="15">
        <f>$G$22/(FB22*1000)</f>
        <v>1.0749235820097933E-2</v>
      </c>
      <c r="FD22" s="15">
        <f>FB22</f>
        <v>4.4411385347921915</v>
      </c>
      <c r="FE22" s="15">
        <f>($I22/FD22)/1000</f>
        <v>5.1071338411133116E-3</v>
      </c>
      <c r="FF22" s="24">
        <f>FC22-FE22+$J22</f>
        <v>6.4192101978984617E-2</v>
      </c>
      <c r="FG22" s="16">
        <f>FF22/$D22</f>
        <v>6.4192101978984617E-2</v>
      </c>
      <c r="FH22" s="14">
        <f>FC22*$AC$11</f>
        <v>30.858395212974646</v>
      </c>
      <c r="FI22" s="14">
        <f>FE22*$M22*$AD$7*$E$11</f>
        <v>6.8896141497578238</v>
      </c>
      <c r="FJ22" s="14">
        <f>FH22-FI22+$K22</f>
        <v>299.73928106321682</v>
      </c>
      <c r="FK22" s="44">
        <f>FJ22/$D22</f>
        <v>299.73928106321682</v>
      </c>
      <c r="FL22" s="43">
        <f>113+10</f>
        <v>123</v>
      </c>
      <c r="FM22" s="15">
        <f>$I$3+$I$4*FL22+$I$5*($G22/$H22)+$I$6*FL22^2+$I$7*($G22/$H22)^2+$I$8*FL22*($G22/$H22)+$I$9*FL22^3+$I$10*($G22/$H22)^3+$I$11*FL22*($G22/$H22)^2+$I$12*FL22^2*($G22/$H22)</f>
        <v>3.7435346003448782</v>
      </c>
      <c r="FN22" s="15">
        <f>$G$22/(FM22*1000)</f>
        <v>1.2752345180890669E-2</v>
      </c>
      <c r="FO22" s="15">
        <f>FM22</f>
        <v>3.7435346003448782</v>
      </c>
      <c r="FP22" s="15">
        <f>($I22/FO22)/1000</f>
        <v>6.0588431323754894E-3</v>
      </c>
      <c r="FQ22" s="24">
        <f>FN22-FP22+$J22</f>
        <v>6.5243502048515173E-2</v>
      </c>
      <c r="FR22" s="16">
        <f>FQ22/$D22</f>
        <v>6.5243502048515173E-2</v>
      </c>
      <c r="FS22" s="14">
        <f>FN22*$AD$11</f>
        <v>36.20829472190384</v>
      </c>
      <c r="FT22" s="14">
        <f>FP22*$M22*$AE$7*$E$11</f>
        <v>9.0193213173854616</v>
      </c>
      <c r="FU22" s="14">
        <f>FS22-FT22+$K22</f>
        <v>302.95947340451835</v>
      </c>
      <c r="FV22" s="44">
        <f>FU22/$D22</f>
        <v>302.95947340451835</v>
      </c>
      <c r="FW22" s="43">
        <f>85+10</f>
        <v>95</v>
      </c>
      <c r="FX22" s="15">
        <f>$I$3+$I$4*FW22+$I$5*($G22/$H22)+$I$6*FW22^2+$I$7*($G22/$H22)^2+$I$8*FW22*($G22/$H22)+$I$9*FW22^3+$I$10*($G22/$H22)^3+$I$11*FW22*($G22/$H22)^2+$I$12*FW22^2*($G22/$H22)</f>
        <v>5.9475842346941956</v>
      </c>
      <c r="FY22" s="15">
        <f>$G$22/(FX22*1000)</f>
        <v>8.0265942501039755E-3</v>
      </c>
      <c r="FZ22" s="15">
        <f>FX22</f>
        <v>5.9475842346941956</v>
      </c>
      <c r="GA22" s="15">
        <f>($I22/FZ22)/1000</f>
        <v>3.8135632904198443E-3</v>
      </c>
      <c r="GB22" s="24">
        <f>FY22-GA22+$J22</f>
        <v>6.2763030959684135E-2</v>
      </c>
      <c r="GC22" s="16">
        <f>GB22/$D22</f>
        <v>6.2763030959684135E-2</v>
      </c>
      <c r="GD22" s="14">
        <f>FY22*$AE$11</f>
        <v>25.14871571501056</v>
      </c>
      <c r="GE22" s="14">
        <f>GA22*$M22*$AF$7*$E$11</f>
        <v>4.7445809652067661</v>
      </c>
      <c r="GF22" s="14">
        <f>GD22-GE22+$K22</f>
        <v>296.17463474980377</v>
      </c>
      <c r="GG22" s="44">
        <f>GF22/$D22</f>
        <v>296.17463474980377</v>
      </c>
    </row>
    <row r="23" spans="2:202" ht="14.4" hidden="1" x14ac:dyDescent="0.3">
      <c r="B23" s="30" t="s">
        <v>114</v>
      </c>
      <c r="C23" s="3" t="s">
        <v>156</v>
      </c>
      <c r="D23" s="7"/>
      <c r="E23" s="7"/>
      <c r="F23" s="3"/>
      <c r="G23" s="3"/>
      <c r="H23" s="8"/>
      <c r="I23" s="12"/>
      <c r="J23" s="111"/>
      <c r="K23" s="108"/>
      <c r="L23" s="98"/>
      <c r="M23" s="97"/>
      <c r="N23" s="45"/>
      <c r="O23" s="22"/>
      <c r="P23" s="15"/>
      <c r="Q23" s="22"/>
      <c r="R23" s="15"/>
      <c r="S23" s="24"/>
      <c r="T23" s="16"/>
      <c r="U23" s="14"/>
      <c r="V23" s="14"/>
      <c r="W23" s="14"/>
      <c r="X23" s="44"/>
      <c r="Y23" s="45"/>
      <c r="Z23" s="22"/>
      <c r="AA23" s="15"/>
      <c r="AB23" s="22"/>
      <c r="AC23" s="15"/>
      <c r="AD23" s="24"/>
      <c r="AE23" s="16"/>
      <c r="AF23" s="14"/>
      <c r="AG23" s="14"/>
      <c r="AH23" s="14"/>
      <c r="AI23" s="44"/>
      <c r="AJ23" s="45"/>
      <c r="AK23" s="22"/>
      <c r="AL23" s="15"/>
      <c r="AM23" s="22"/>
      <c r="AN23" s="15"/>
      <c r="AO23" s="24"/>
      <c r="AP23" s="16"/>
      <c r="AQ23" s="14"/>
      <c r="AR23" s="14"/>
      <c r="AS23" s="14"/>
      <c r="AT23" s="44"/>
      <c r="AU23" s="45"/>
      <c r="AV23" s="22"/>
      <c r="AW23" s="178"/>
      <c r="AX23" s="22"/>
      <c r="AY23" s="15"/>
      <c r="AZ23" s="24"/>
      <c r="BA23" s="16"/>
      <c r="BB23" s="14"/>
      <c r="BC23" s="14"/>
      <c r="BD23" s="14"/>
      <c r="BE23" s="44"/>
      <c r="BF23" s="45"/>
      <c r="BG23" s="22"/>
      <c r="BH23" s="15"/>
      <c r="BI23" s="22"/>
      <c r="BJ23" s="15"/>
      <c r="BK23" s="24"/>
      <c r="BL23" s="16"/>
      <c r="BM23" s="14"/>
      <c r="BN23" s="14"/>
      <c r="BO23" s="14"/>
      <c r="BP23" s="44"/>
      <c r="BQ23" s="45"/>
      <c r="BR23" s="22"/>
      <c r="BS23" s="15"/>
      <c r="BT23" s="22"/>
      <c r="BU23" s="15"/>
      <c r="BV23" s="24"/>
      <c r="BW23" s="16"/>
      <c r="BX23" s="14"/>
      <c r="BY23" s="14"/>
      <c r="BZ23" s="14"/>
      <c r="CA23" s="44"/>
      <c r="CB23" s="45"/>
      <c r="CC23" s="22"/>
      <c r="CD23" s="15"/>
      <c r="CE23" s="22"/>
      <c r="CF23" s="15"/>
      <c r="CG23" s="24"/>
      <c r="CH23" s="16"/>
      <c r="CI23" s="14"/>
      <c r="CJ23" s="14"/>
      <c r="CK23" s="14"/>
      <c r="CL23" s="44"/>
      <c r="CM23" s="45"/>
      <c r="CN23" s="22"/>
      <c r="CO23" s="15"/>
      <c r="CP23" s="22"/>
      <c r="CQ23" s="15"/>
      <c r="CR23" s="24"/>
      <c r="CS23" s="16"/>
      <c r="CT23" s="14"/>
      <c r="CU23" s="14"/>
      <c r="CV23" s="14"/>
      <c r="CW23" s="44"/>
      <c r="CX23" s="45"/>
      <c r="CY23" s="22"/>
      <c r="CZ23" s="15"/>
      <c r="DA23" s="22"/>
      <c r="DB23" s="15"/>
      <c r="DC23" s="24"/>
      <c r="DD23" s="16"/>
      <c r="DE23" s="14"/>
      <c r="DF23" s="14"/>
      <c r="DG23" s="14"/>
      <c r="DH23" s="44"/>
      <c r="DI23" s="45"/>
      <c r="DJ23" s="22"/>
      <c r="DK23" s="15"/>
      <c r="DL23" s="22"/>
      <c r="DM23" s="15"/>
      <c r="DN23" s="24"/>
      <c r="DO23" s="16"/>
      <c r="DP23" s="14"/>
      <c r="DQ23" s="14"/>
      <c r="DR23" s="14"/>
      <c r="DS23" s="44"/>
      <c r="DT23" s="45"/>
      <c r="DU23" s="22"/>
      <c r="DV23" s="15"/>
      <c r="DW23" s="22"/>
      <c r="DX23" s="15"/>
      <c r="DY23" s="24"/>
      <c r="DZ23" s="16"/>
      <c r="EA23" s="14"/>
      <c r="EB23" s="14"/>
      <c r="EC23" s="14"/>
      <c r="ED23" s="44"/>
      <c r="EE23" s="45"/>
      <c r="EF23" s="22"/>
      <c r="EG23" s="15"/>
      <c r="EH23" s="22"/>
      <c r="EI23" s="15"/>
      <c r="EJ23" s="24"/>
      <c r="EK23" s="16"/>
      <c r="EL23" s="14"/>
      <c r="EM23" s="14"/>
      <c r="EN23" s="14"/>
      <c r="EO23" s="44"/>
      <c r="EP23" s="45"/>
      <c r="EQ23" s="22"/>
      <c r="ER23" s="15"/>
      <c r="ES23" s="22"/>
      <c r="ET23" s="15"/>
      <c r="EU23" s="24"/>
      <c r="EV23" s="16"/>
      <c r="EW23" s="14"/>
      <c r="EX23" s="14"/>
      <c r="EY23" s="14"/>
      <c r="EZ23" s="44"/>
      <c r="FA23" s="45"/>
      <c r="FB23" s="22"/>
      <c r="FC23" s="15"/>
      <c r="FD23" s="22"/>
      <c r="FE23" s="15"/>
      <c r="FF23" s="24"/>
      <c r="FG23" s="16"/>
      <c r="FH23" s="14"/>
      <c r="FI23" s="14"/>
      <c r="FJ23" s="14"/>
      <c r="FK23" s="44"/>
      <c r="FL23" s="45"/>
      <c r="FM23" s="22"/>
      <c r="FN23" s="15"/>
      <c r="FO23" s="22"/>
      <c r="FP23" s="15"/>
      <c r="FQ23" s="24"/>
      <c r="FR23" s="16"/>
      <c r="FS23" s="14"/>
      <c r="FT23" s="14"/>
      <c r="FU23" s="14"/>
      <c r="FV23" s="44"/>
      <c r="FW23" s="45"/>
      <c r="FX23" s="22"/>
      <c r="FY23" s="15"/>
      <c r="FZ23" s="22"/>
      <c r="GA23" s="15"/>
      <c r="GB23" s="24"/>
      <c r="GC23" s="16"/>
      <c r="GD23" s="14"/>
      <c r="GE23" s="14"/>
      <c r="GF23" s="14"/>
      <c r="GG23" s="44"/>
      <c r="GH23" s="1" t="s">
        <v>0</v>
      </c>
      <c r="GI23" s="61" t="e">
        <f>#REF!</f>
        <v>#REF!</v>
      </c>
      <c r="GJ23" s="62" t="e">
        <f>#REF!</f>
        <v>#REF!</v>
      </c>
      <c r="GK23" s="61" t="e">
        <f>#REF!</f>
        <v>#REF!</v>
      </c>
      <c r="GL23" s="62" t="e">
        <f>#REF!</f>
        <v>#REF!</v>
      </c>
      <c r="GM23" s="61" t="e">
        <f>#REF!</f>
        <v>#REF!</v>
      </c>
      <c r="GN23" s="62" t="e">
        <f>#REF!</f>
        <v>#REF!</v>
      </c>
      <c r="GO23" s="61" t="e">
        <f>#REF!</f>
        <v>#REF!</v>
      </c>
      <c r="GP23" s="62" t="e">
        <f>#REF!</f>
        <v>#REF!</v>
      </c>
      <c r="GQ23" s="61" t="e">
        <f>#REF!</f>
        <v>#REF!</v>
      </c>
      <c r="GR23" s="62" t="e">
        <f>#REF!</f>
        <v>#REF!</v>
      </c>
      <c r="GS23" s="61" t="e">
        <f>#REF!</f>
        <v>#REF!</v>
      </c>
      <c r="GT23" s="62" t="e">
        <f>#REF!</f>
        <v>#REF!</v>
      </c>
    </row>
    <row r="24" spans="2:202" ht="13.8" x14ac:dyDescent="0.25">
      <c r="B24" s="167" t="s">
        <v>146</v>
      </c>
      <c r="C24" s="3" t="s">
        <v>156</v>
      </c>
      <c r="D24" s="3">
        <v>1</v>
      </c>
      <c r="E24" s="3">
        <v>38</v>
      </c>
      <c r="F24" s="3">
        <f>E24-10</f>
        <v>28</v>
      </c>
      <c r="G24" s="11">
        <f>'Cooling Load'!D33</f>
        <v>73.219369520547943</v>
      </c>
      <c r="H24" s="14">
        <f>G24*1.15</f>
        <v>84.202274948630134</v>
      </c>
      <c r="I24" s="14">
        <f>'Cooling Load'!H33</f>
        <v>22.681488904109589</v>
      </c>
      <c r="J24" s="110">
        <f>'Cooling Load'!H20</f>
        <v>4.1550000000000004E-2</v>
      </c>
      <c r="K24" s="109">
        <f>'Cooling Load'!H26</f>
        <v>195.70050000000003</v>
      </c>
      <c r="L24" s="98">
        <f>I24/H24</f>
        <v>0.2693690748610657</v>
      </c>
      <c r="M24" s="97">
        <f>(1-(1-L24))*(1-$D$8)</f>
        <v>0.25590062111801248</v>
      </c>
      <c r="N24" s="43">
        <f>69+15</f>
        <v>84</v>
      </c>
      <c r="O24" s="15">
        <f>$H$3+$H$4*N24+$H$5*($G24/$H24)+$H$6*N24^2+$H$7*($G24/$H24)^2+$H$8*N24*($G24/$H24)+$H$9*N24^3+$H$10*($G24/$H24)^3+$H$11*N24*($G24/$H24)^2+$H$12*N24^2*($G24/$H24)</f>
        <v>9.517424087669232</v>
      </c>
      <c r="P24" s="15">
        <f>$G$24/(O24*1000)</f>
        <v>7.6931918601180031E-3</v>
      </c>
      <c r="Q24" s="15">
        <f>O24</f>
        <v>9.517424087669232</v>
      </c>
      <c r="R24" s="15">
        <f>($I24/Q24)/1000</f>
        <v>2.3831541702019677E-3</v>
      </c>
      <c r="S24" s="24">
        <f>P24-R24+$J24</f>
        <v>4.6860037689916041E-2</v>
      </c>
      <c r="T24" s="16">
        <f>S24/$D24</f>
        <v>4.6860037689916041E-2</v>
      </c>
      <c r="U24" s="14">
        <f>P24*$Q$10</f>
        <v>22.228034803757545</v>
      </c>
      <c r="V24" s="14">
        <f>R24*$M24*$Q$7*$D$11</f>
        <v>2.1330066932721023</v>
      </c>
      <c r="W24" s="14">
        <f>U24-V24+$K24</f>
        <v>215.79552811048546</v>
      </c>
      <c r="X24" s="44">
        <f>W24/$D24</f>
        <v>215.79552811048546</v>
      </c>
      <c r="Y24" s="43">
        <f>96+15</f>
        <v>111</v>
      </c>
      <c r="Z24" s="15">
        <f>$H$3+$H$4*Y24+$H$5*($G24/$H24)+$H$6*Y24^2+$H$7*($G24/$H24)^2+$H$8*Y24*($G24/$H24)+$H$9*Y24^3+$H$10*($G24/$H24)^3+$H$11*Y24*($G24/$H24)^2+$H$12*Y24^2*($G24/$H24)</f>
        <v>6.4425744504920166</v>
      </c>
      <c r="AA24" s="15">
        <f>$G$24/(Z24*1000)</f>
        <v>1.1364924081700943E-2</v>
      </c>
      <c r="AB24" s="15">
        <f>Z24</f>
        <v>6.4425744504920166</v>
      </c>
      <c r="AC24" s="15">
        <f>($I24/AB24)/1000</f>
        <v>3.5205629486171346E-3</v>
      </c>
      <c r="AD24" s="24">
        <f>AA24-AC24+$J24</f>
        <v>4.9394361133083813E-2</v>
      </c>
      <c r="AE24" s="16">
        <f>AD24/$D24</f>
        <v>4.9394361133083813E-2</v>
      </c>
      <c r="AF24" s="14">
        <f>AA24*$R$10</f>
        <v>33.077093490659813</v>
      </c>
      <c r="AG24" s="14">
        <f>AC24*$M24*$R$7*$D$11</f>
        <v>3.1740845482947373</v>
      </c>
      <c r="AH24" s="14">
        <f>AF24-AG24+$K24</f>
        <v>225.60350894236512</v>
      </c>
      <c r="AI24" s="44">
        <f>AH24/$D24</f>
        <v>225.60350894236512</v>
      </c>
      <c r="AJ24" s="43">
        <f>89+15</f>
        <v>104</v>
      </c>
      <c r="AK24" s="15">
        <f>$H$3+$H$4*AJ24+$H$5*($G24/$H24)+$H$6*AJ24^2+$H$7*($G24/$H24)^2+$H$8*AJ24*($G24/$H24)+$H$9*AJ24^3+$H$10*($G24/$H24)^3+$H$11*AJ24*($G24/$H24)^2+$H$12*AJ24^2*($G24/$H24)</f>
        <v>7.1731404854674166</v>
      </c>
      <c r="AL24" s="15">
        <f>$G$24/(AK24*1000)</f>
        <v>1.0207435595174575E-2</v>
      </c>
      <c r="AM24" s="15">
        <f>AK24</f>
        <v>7.1731404854674166</v>
      </c>
      <c r="AN24" s="15">
        <f>($I24/AM24)/1000</f>
        <v>3.1620026054225005E-3</v>
      </c>
      <c r="AO24" s="24">
        <f>AL24-AN24+$J24</f>
        <v>4.859543298975208E-2</v>
      </c>
      <c r="AP24" s="16">
        <f>AO24/$D24</f>
        <v>4.859543298975208E-2</v>
      </c>
      <c r="AQ24" s="14">
        <f>AL24*$Q$10</f>
        <v>29.492470458571649</v>
      </c>
      <c r="AR24" s="14">
        <f>AN24*$M24*$S$7*$D$11</f>
        <v>2.8982258436695201</v>
      </c>
      <c r="AS24" s="14">
        <f>AQ24-AR24+$K24</f>
        <v>222.29474461490216</v>
      </c>
      <c r="AT24" s="44">
        <f>AS24/$D24</f>
        <v>222.29474461490216</v>
      </c>
      <c r="AU24" s="43">
        <f>88+15</f>
        <v>103</v>
      </c>
      <c r="AV24" s="15">
        <f>$H$3+$H$4*AU24+$H$5*($G24/$H24)+$H$6*AU24^2+$H$7*($G24/$H24)^2+$H$8*AU24*($G24/$H24)+$H$9*AU24^3+$H$10*($G24/$H24)^3+$H$11*AU24*($G24/$H24)^2+$H$12*AU24^2*($G24/$H24)</f>
        <v>7.281090917823354</v>
      </c>
      <c r="AW24" s="178">
        <f>$G$24/(AV24*1000)</f>
        <v>1.0056098783399962E-2</v>
      </c>
      <c r="AX24" s="15">
        <f>AV24</f>
        <v>7.281090917823354</v>
      </c>
      <c r="AY24" s="15">
        <f>($I24/AX24)/1000</f>
        <v>3.1151223298953265E-3</v>
      </c>
      <c r="AZ24" s="24">
        <f>AW24-AY24+$J24</f>
        <v>4.8490976453504642E-2</v>
      </c>
      <c r="BA24" s="16">
        <f>AZ24/$D24</f>
        <v>4.8490976453504642E-2</v>
      </c>
      <c r="BB24" s="14">
        <f>AW24*$S$10</f>
        <v>29.754589095427058</v>
      </c>
      <c r="BC24" s="14">
        <f>AY24*$M24*$T$7*$D$11</f>
        <v>2.9237705426971479</v>
      </c>
      <c r="BD24" s="14">
        <f>BB24-BC24+$K24</f>
        <v>222.53131855272994</v>
      </c>
      <c r="BE24" s="44">
        <f>BD24/$D24</f>
        <v>222.53131855272994</v>
      </c>
      <c r="BF24" s="43">
        <f>83+15</f>
        <v>98</v>
      </c>
      <c r="BG24" s="15">
        <f>$H$3+$H$4*BF24+$H$5*($G24/$H24)+$H$6*BF24^2+$H$7*($G24/$H24)^2+$H$8*BF24*($G24/$H24)+$H$9*BF24^3+$H$10*($G24/$H24)^3+$H$11*BF24*($G24/$H24)^2+$H$12*BF24^2*($G24/$H24)</f>
        <v>7.8348543036092488</v>
      </c>
      <c r="BH24" s="15">
        <f>$G$24/(BG24*1000)</f>
        <v>9.345339004813184E-3</v>
      </c>
      <c r="BI24" s="15">
        <f>BG24</f>
        <v>7.8348543036092488</v>
      </c>
      <c r="BJ24" s="15">
        <f>($I24/BI24)/1000</f>
        <v>2.8949471202879937E-3</v>
      </c>
      <c r="BK24" s="24">
        <f>BH24-BJ24+$J24</f>
        <v>4.8000391884525193E-2</v>
      </c>
      <c r="BL24" s="16">
        <f>BK24/$D24</f>
        <v>4.8000391884525193E-2</v>
      </c>
      <c r="BM24" s="14">
        <f>BH24*$T$10</f>
        <v>28.315071679069113</v>
      </c>
      <c r="BN24" s="14">
        <f>BJ24*$M24*$U$7*$D$11</f>
        <v>2.6610125270565543</v>
      </c>
      <c r="BO24" s="14">
        <f>BM24-BN24+$K24</f>
        <v>221.3545591520126</v>
      </c>
      <c r="BP24" s="44">
        <f>BO24/$D24</f>
        <v>221.3545591520126</v>
      </c>
      <c r="BQ24" s="43">
        <f>86+15</f>
        <v>101</v>
      </c>
      <c r="BR24" s="15">
        <f>$H$3+$H$4*BQ24+$H$5*($G24/$H24)+$H$6*BQ24^2+$H$7*($G24/$H24)^2+$H$8*BQ24*($G24/$H24)+$H$9*BQ24^3+$H$10*($G24/$H24)^3+$H$11*BQ24*($G24/$H24)^2+$H$12*BQ24^2*($G24/$H24)</f>
        <v>7.4997676382165306</v>
      </c>
      <c r="BS24" s="15">
        <f>$G$24/(BR24*1000)</f>
        <v>9.7628850722580179E-3</v>
      </c>
      <c r="BT24" s="15">
        <f>BR24</f>
        <v>7.4997676382165306</v>
      </c>
      <c r="BU24" s="15">
        <f>($I24/BT24)/1000</f>
        <v>3.024292217872409E-3</v>
      </c>
      <c r="BV24" s="24">
        <f>BS24-BU24+$J24</f>
        <v>4.8288592854385609E-2</v>
      </c>
      <c r="BW24" s="16">
        <f>BV24/$D24</f>
        <v>4.8288592854385609E-2</v>
      </c>
      <c r="BX24" s="14">
        <f>BS24*$U$10</f>
        <v>28.969358992156632</v>
      </c>
      <c r="BY24" s="14">
        <f>BU24*$M24*$V$7*$D$11</f>
        <v>2.8760064540877304</v>
      </c>
      <c r="BZ24" s="14">
        <f>BX24-BY24+$K24</f>
        <v>221.79385253806893</v>
      </c>
      <c r="CA24" s="44">
        <f>BZ24/$D24</f>
        <v>221.79385253806893</v>
      </c>
      <c r="CB24" s="43">
        <f>83+15</f>
        <v>98</v>
      </c>
      <c r="CC24" s="15">
        <f>$H$3+$H$4*CB24+$H$5*($G24/$H24)+$H$6*CB24^2+$H$7*($G24/$H24)^2+$H$8*CB24*($G24/$H24)+$H$9*CB24^3+$H$10*($G24/$H24)^3+$H$11*CB24*($G24/$H24)^2+$H$12*CB24^2*($G24/$H24)</f>
        <v>7.8348543036092488</v>
      </c>
      <c r="CD24" s="15">
        <f>$G$24/(CC24*1000)</f>
        <v>9.345339004813184E-3</v>
      </c>
      <c r="CE24" s="15">
        <f>CC24</f>
        <v>7.8348543036092488</v>
      </c>
      <c r="CF24" s="15">
        <f>($I24/CE24)/1000</f>
        <v>2.8949471202879937E-3</v>
      </c>
      <c r="CG24" s="24">
        <f>CD24-CF24+$J24</f>
        <v>4.8000391884525193E-2</v>
      </c>
      <c r="CH24" s="16">
        <f>CG24/$D24</f>
        <v>4.8000391884525193E-2</v>
      </c>
      <c r="CI24" s="14">
        <f>CD24*$V$10</f>
        <v>28.68901182307442</v>
      </c>
      <c r="CJ24" s="14">
        <f>CF24*$M24*$W$7*$D$11</f>
        <v>2.781847974292277</v>
      </c>
      <c r="CK24" s="14">
        <f>CI24-CJ24+$K24</f>
        <v>221.60766384878218</v>
      </c>
      <c r="CL24" s="44">
        <f>CK24/$D24</f>
        <v>221.60766384878218</v>
      </c>
      <c r="CM24" s="43">
        <f>89+15</f>
        <v>104</v>
      </c>
      <c r="CN24" s="15">
        <f>$H$3+$H$4*CM24+$H$5*($G24/$H24)+$H$6*CM24^2+$H$7*($G24/$H24)^2+$H$8*CM24*($G24/$H24)+$H$9*CM24^3+$H$10*($G24/$H24)^3+$H$11*CM24*($G24/$H24)^2+$H$12*CM24^2*($G24/$H24)</f>
        <v>7.1731404854674166</v>
      </c>
      <c r="CO24" s="15">
        <f>$G$24/(CN24*1000)</f>
        <v>1.0207435595174575E-2</v>
      </c>
      <c r="CP24" s="15">
        <f>CN24</f>
        <v>7.1731404854674166</v>
      </c>
      <c r="CQ24" s="15">
        <f>($I24/CP24)/1000</f>
        <v>3.1620026054225005E-3</v>
      </c>
      <c r="CR24" s="24">
        <f>CO24-CQ24+$J24</f>
        <v>4.859543298975208E-2</v>
      </c>
      <c r="CS24" s="16">
        <f>CR24/$D24</f>
        <v>4.859543298975208E-2</v>
      </c>
      <c r="CT24" s="14">
        <f>CO24*$W$10</f>
        <v>31.663858097224665</v>
      </c>
      <c r="CU24" s="14">
        <f>CQ24*$M24*$X$7*$D$11</f>
        <v>3.0251505989505327</v>
      </c>
      <c r="CV24" s="14">
        <f>CT24-CU24+$K24</f>
        <v>224.33920749827416</v>
      </c>
      <c r="CW24" s="44">
        <f>CV24/$D24</f>
        <v>224.33920749827416</v>
      </c>
      <c r="CX24" s="43">
        <f>96+15</f>
        <v>111</v>
      </c>
      <c r="CY24" s="15">
        <f>$H$3+$H$4*CX24+$H$5*($G24/$H24)+$H$6*CX24^2+$H$7*($G24/$H24)^2+$H$8*CX24*($G24/$H24)+$H$9*CX24^3+$H$10*($G24/$H24)^3+$H$11*CX24*($G24/$H24)^2+$H$12*CX24^2*($G24/$H24)</f>
        <v>6.4425744504920166</v>
      </c>
      <c r="CZ24" s="15">
        <f>$G$24/(CY24*1000)</f>
        <v>1.1364924081700943E-2</v>
      </c>
      <c r="DA24" s="15">
        <f>CY24</f>
        <v>6.4425744504920166</v>
      </c>
      <c r="DB24" s="15">
        <f>($I24/DA24)/1000</f>
        <v>3.5205629486171346E-3</v>
      </c>
      <c r="DC24" s="24">
        <f>CZ24-DB24+$J24</f>
        <v>4.9394361133083813E-2</v>
      </c>
      <c r="DD24" s="16">
        <f>DC24/$D24</f>
        <v>4.9394361133083813E-2</v>
      </c>
      <c r="DE24" s="14">
        <f>CZ24*$X$10</f>
        <v>35.099888765549863</v>
      </c>
      <c r="DF24" s="14">
        <f>DB24*$M24*$Y$7*$D$11</f>
        <v>3.3343256902092695</v>
      </c>
      <c r="DG24" s="14">
        <f>DE24-DF24+$K24</f>
        <v>227.46606307534063</v>
      </c>
      <c r="DH24" s="44">
        <f>DG24/$D24</f>
        <v>227.46606307534063</v>
      </c>
      <c r="DI24" s="43">
        <f>100+15</f>
        <v>115</v>
      </c>
      <c r="DJ24" s="15">
        <f>$H$3+$H$4*DI24+$H$5*($G24/$H24)+$H$6*DI24^2+$H$7*($G24/$H24)^2+$H$8*DI24*($G24/$H24)+$H$9*DI24^3+$H$10*($G24/$H24)^3+$H$11*DI24*($G24/$H24)^2+$H$12*DI24^2*($G24/$H24)</f>
        <v>6.044045271560071</v>
      </c>
      <c r="DK24" s="15">
        <f>$G$24/(DJ24*1000)</f>
        <v>1.2114298657734703E-2</v>
      </c>
      <c r="DL24" s="15">
        <f>DJ24</f>
        <v>6.044045271560071</v>
      </c>
      <c r="DM24" s="15">
        <f>($I24/DL24)/1000</f>
        <v>3.7527000353283443E-3</v>
      </c>
      <c r="DN24" s="24">
        <f>DK24-DM24+$J24</f>
        <v>4.9911598622406364E-2</v>
      </c>
      <c r="DO24" s="16">
        <f>DN24/$D24</f>
        <v>4.9911598622406364E-2</v>
      </c>
      <c r="DP24" s="14">
        <f>DK24*$Y$10</f>
        <v>37.038091968767155</v>
      </c>
      <c r="DQ24" s="14">
        <f>DM24*$M24*$Z$7*$D$11</f>
        <v>3.5160750658254125</v>
      </c>
      <c r="DR24" s="14">
        <f>DP24-DQ24+$K24</f>
        <v>229.22251690294178</v>
      </c>
      <c r="DS24" s="44">
        <f>DR24/$D24</f>
        <v>229.22251690294178</v>
      </c>
      <c r="DT24" s="43">
        <f>104+15</f>
        <v>119</v>
      </c>
      <c r="DU24" s="15">
        <f>$H$3+$H$4*DT24+$H$5*($G24/$H24)+$H$6*DT24^2+$H$7*($G24/$H24)^2+$H$8*DT24*($G24/$H24)+$H$9*DT24^3+$H$10*($G24/$H24)^3+$H$11*DT24*($G24/$H24)^2+$H$12*DT24^2*($G24/$H24)</f>
        <v>5.6585848385945274</v>
      </c>
      <c r="DV24" s="15">
        <f>$G$24/(DU24*1000)</f>
        <v>1.2939519616486669E-2</v>
      </c>
      <c r="DW24" s="15">
        <f>DU24</f>
        <v>5.6585848385945274</v>
      </c>
      <c r="DX24" s="15">
        <f>($I24/DW24)/1000</f>
        <v>4.0083323924755693E-3</v>
      </c>
      <c r="DY24" s="24">
        <f>DV24-DX24+$J24</f>
        <v>5.0481187224011105E-2</v>
      </c>
      <c r="DZ24" s="16">
        <f>DY24/$D24</f>
        <v>5.0481187224011105E-2</v>
      </c>
      <c r="EA24" s="14">
        <f>DV24*$Z$10</f>
        <v>39.136939896765227</v>
      </c>
      <c r="EB24" s="14">
        <f>DX24*$M24*$AA$7*$D$11</f>
        <v>3.6210341788101714</v>
      </c>
      <c r="EC24" s="14">
        <f>EA24-EB24+$K24</f>
        <v>231.2164057179551</v>
      </c>
      <c r="ED24" s="44">
        <f>EC24/$D24</f>
        <v>231.2164057179551</v>
      </c>
      <c r="EE24" s="43">
        <f>100+15</f>
        <v>115</v>
      </c>
      <c r="EF24" s="15">
        <f>$H$3+$H$4*EE24+$H$5*($G24/$H24)+$H$6*EE24^2+$H$7*($G24/$H24)^2+$H$8*EE24*($G24/$H24)+$H$9*EE24^3+$H$10*($G24/$H24)^3+$H$11*EE24*($G24/$H24)^2+$H$12*EE24^2*($G24/$H24)</f>
        <v>6.044045271560071</v>
      </c>
      <c r="EG24" s="15">
        <f>$G$24/(EF24*1000)</f>
        <v>1.2114298657734703E-2</v>
      </c>
      <c r="EH24" s="15">
        <f>EF24</f>
        <v>6.044045271560071</v>
      </c>
      <c r="EI24" s="15">
        <f>($I24/EH24)/1000</f>
        <v>3.7527000353283443E-3</v>
      </c>
      <c r="EJ24" s="24">
        <f>EG24-EI24+$J24</f>
        <v>4.9911598622406364E-2</v>
      </c>
      <c r="EK24" s="16">
        <f>EJ24/$D24</f>
        <v>4.9911598622406364E-2</v>
      </c>
      <c r="EL24" s="14">
        <f>EG24*$AA$10</f>
        <v>35.328207043607641</v>
      </c>
      <c r="EM24" s="14">
        <f>EI24*$M24*$AB$7*$D$11</f>
        <v>3.4433717449704027</v>
      </c>
      <c r="EN24" s="14">
        <f>EL24-EM24+$K24</f>
        <v>227.58533529863726</v>
      </c>
      <c r="EO24" s="44">
        <f>EN24/$D24</f>
        <v>227.58533529863726</v>
      </c>
      <c r="EP24" s="43">
        <f>101+15</f>
        <v>116</v>
      </c>
      <c r="EQ24" s="15">
        <f>$H$3+$H$4*EP24+$H$5*($G24/$H24)+$H$6*EP24^2+$H$7*($G24/$H24)^2+$H$8*EP24*($G24/$H24)+$H$9*EP24^3+$H$10*($G24/$H24)^3+$H$11*EP24*($G24/$H24)^2+$H$12*EP24^2*($G24/$H24)</f>
        <v>5.9464769593176205</v>
      </c>
      <c r="ER24" s="15">
        <f>$G$23/(EQ24*1000)</f>
        <v>0</v>
      </c>
      <c r="ES24" s="15">
        <f>EQ24</f>
        <v>5.9464769593176205</v>
      </c>
      <c r="ET24" s="15">
        <f>($I24/ES24)/1000</f>
        <v>3.8142734024336268E-3</v>
      </c>
      <c r="EU24" s="24">
        <f>ER24-ET24+$J24</f>
        <v>3.7735726597566376E-2</v>
      </c>
      <c r="EV24" s="16">
        <f>EU24/$D24</f>
        <v>3.7735726597566376E-2</v>
      </c>
      <c r="EW24" s="14">
        <f>ER24*$AB$10</f>
        <v>0</v>
      </c>
      <c r="EX24" s="14">
        <f>ET24*$M24*$AC$7*$D$11</f>
        <v>3.5804221619397021</v>
      </c>
      <c r="EY24" s="14">
        <f>EW24-EX24+$K24</f>
        <v>192.12007783806033</v>
      </c>
      <c r="EZ24" s="44">
        <f>EY24/$D24</f>
        <v>192.12007783806033</v>
      </c>
      <c r="FA24" s="43">
        <f>103+15</f>
        <v>118</v>
      </c>
      <c r="FB24" s="15">
        <f>$H$3+$H$4*FA24+$H$5*($G24/$H24)+$H$6*FA24^2+$H$7*($G24/$H24)^2+$H$8*FA24*($G24/$H24)+$H$9*FA24^3+$H$10*($G24/$H24)^3+$H$11*FA24*($G24/$H24)^2+$H$12*FA24^2*($G24/$H24)</f>
        <v>5.7537555392081599</v>
      </c>
      <c r="FC24" s="15">
        <f>$G$24/(FB24*1000)</f>
        <v>1.2725491902046381E-2</v>
      </c>
      <c r="FD24" s="15">
        <f>FB24</f>
        <v>5.7537555392081599</v>
      </c>
      <c r="FE24" s="15">
        <f>($I24/FD24)/1000</f>
        <v>3.9420320779271498E-3</v>
      </c>
      <c r="FF24" s="24">
        <f>FC24-FE24+$J24</f>
        <v>5.0333459824119235E-2</v>
      </c>
      <c r="FG24" s="16">
        <f>FF24/$D24</f>
        <v>5.0333459824119235E-2</v>
      </c>
      <c r="FH24" s="14">
        <f>FC24*$AC$10</f>
        <v>38.561278186214153</v>
      </c>
      <c r="FI24" s="14">
        <f>FE24*$M24*$AD$7*$D$11</f>
        <v>3.659863068292029</v>
      </c>
      <c r="FJ24" s="14">
        <f>FH24-FI24+$K24</f>
        <v>230.60191511792215</v>
      </c>
      <c r="FK24" s="44">
        <f>FJ24/$D24</f>
        <v>230.60191511792215</v>
      </c>
      <c r="FL24" s="43">
        <f>113+15</f>
        <v>128</v>
      </c>
      <c r="FM24" s="15">
        <f>$H$3+$H$4*FL24+$H$5*($G24/$H24)+$H$6*FL24^2+$H$7*($G24/$H24)^2+$H$8*FL24*($G24/$H24)+$H$9*FL24^3+$H$10*($G24/$H24)^3+$H$11*FL24*($G24/$H24)^2+$H$12*FL24^2*($G24/$H24)</f>
        <v>4.8361654691082965</v>
      </c>
      <c r="FN24" s="15">
        <f>$G$24/(FM24*1000)</f>
        <v>1.5139963673337318E-2</v>
      </c>
      <c r="FO24" s="15">
        <f>FM24</f>
        <v>4.8361654691082965</v>
      </c>
      <c r="FP24" s="15">
        <f>($I24/FO24)/1000</f>
        <v>4.6899737093345686E-3</v>
      </c>
      <c r="FQ24" s="24">
        <f>FN24-FP24+$J24</f>
        <v>5.1999989964002749E-2</v>
      </c>
      <c r="FR24" s="16">
        <f>FQ24/$D24</f>
        <v>5.1999989964002749E-2</v>
      </c>
      <c r="FS24" s="14">
        <f>FN24*$AD$10</f>
        <v>45.375763005654839</v>
      </c>
      <c r="FT24" s="14">
        <f>FP24*$M24*$AE$7*$D$11</f>
        <v>4.8048693261318212</v>
      </c>
      <c r="FU24" s="14">
        <f>FS24-FT24+$K24</f>
        <v>236.27139367952304</v>
      </c>
      <c r="FV24" s="44">
        <f>FU24/$D24</f>
        <v>236.27139367952304</v>
      </c>
      <c r="FW24" s="43">
        <f>85+15</f>
        <v>100</v>
      </c>
      <c r="FX24" s="15">
        <f>$H$3+$H$4*FW24+$H$5*($G24/$H24)+$H$6*FW24^2+$H$7*($G24/$H24)^2+$H$8*FW24*($G24/$H24)+$H$9*FW24^3+$H$10*($G24/$H24)^3+$H$11*FW24*($G24/$H24)^2+$H$12*FW24^2*($G24/$H24)</f>
        <v>7.6105115190003954</v>
      </c>
      <c r="FY24" s="15">
        <f>$G$24/(FX24*1000)</f>
        <v>9.6208210627825134E-3</v>
      </c>
      <c r="FZ24" s="15">
        <f>FX24</f>
        <v>7.6105115190003954</v>
      </c>
      <c r="GA24" s="15">
        <f>($I24/FZ24)/1000</f>
        <v>2.9802844194484176E-3</v>
      </c>
      <c r="GB24" s="24">
        <f>FY24-GA24+$J24</f>
        <v>4.81905366433341E-2</v>
      </c>
      <c r="GC24" s="16">
        <f>GB24/$D24</f>
        <v>4.81905366433341E-2</v>
      </c>
      <c r="GD24" s="14">
        <f>FY24*$AE$10</f>
        <v>31.818355885745479</v>
      </c>
      <c r="GE24" s="14">
        <f>GA24*$M24*$AF$7*$D$11</f>
        <v>2.5518294094659142</v>
      </c>
      <c r="GF24" s="14">
        <f>GD24-GE24+$K24</f>
        <v>224.96702647627961</v>
      </c>
      <c r="GG24" s="44">
        <f>GF24/$D24</f>
        <v>224.96702647627961</v>
      </c>
    </row>
    <row r="25" spans="2:202" ht="13.8" x14ac:dyDescent="0.25">
      <c r="B25" s="167" t="s">
        <v>147</v>
      </c>
      <c r="C25" s="3" t="s">
        <v>156</v>
      </c>
      <c r="D25" s="3">
        <v>1</v>
      </c>
      <c r="E25" s="3">
        <v>0</v>
      </c>
      <c r="F25" s="3">
        <f>E25-10</f>
        <v>-10</v>
      </c>
      <c r="G25" s="11">
        <f>'Cooling Load'!D33</f>
        <v>73.219369520547943</v>
      </c>
      <c r="H25" s="14">
        <f>G25*1.15</f>
        <v>84.202274948630134</v>
      </c>
      <c r="I25" s="14">
        <f>'Cooling Load'!H33</f>
        <v>22.681488904109589</v>
      </c>
      <c r="J25" s="110">
        <f>'Cooling Load'!H20</f>
        <v>4.1550000000000004E-2</v>
      </c>
      <c r="K25" s="109">
        <f>'Cooling Load'!H26</f>
        <v>195.70050000000003</v>
      </c>
      <c r="L25" s="98">
        <f>I25/H25</f>
        <v>0.2693690748610657</v>
      </c>
      <c r="M25" s="97">
        <f>(1-(1-L25))*(1-$E$8)</f>
        <v>0.24243216737495918</v>
      </c>
      <c r="N25" s="43">
        <f>69+10</f>
        <v>79</v>
      </c>
      <c r="O25" s="15">
        <f>$I$3+$I$4*N25+$I$5*($G25/$H25)+$I$6*N25^2+$I$7*($G25/$H25)^2+$I$8*N25*($G25/$H25)+$I$9*N25^3+$I$10*($G25/$H25)^3+$I$11*N25*($G25/$H25)^2+$I$12*N25^2*($G25/$H25)</f>
        <v>7.7386212864169197</v>
      </c>
      <c r="P25" s="15">
        <f>$G$25/(O25*1000)</f>
        <v>9.4615522339961209E-3</v>
      </c>
      <c r="Q25" s="15">
        <f>O25</f>
        <v>7.7386212864169197</v>
      </c>
      <c r="R25" s="15">
        <f>($I25/Q25)/1000</f>
        <v>2.9309470078243624E-3</v>
      </c>
      <c r="S25" s="24">
        <f>P25-R25+$J25</f>
        <v>4.808060522617176E-2</v>
      </c>
      <c r="T25" s="16">
        <f>S25/$D25</f>
        <v>4.808060522617176E-2</v>
      </c>
      <c r="U25" s="14">
        <f>P25*$Q$11</f>
        <v>25.898570903367524</v>
      </c>
      <c r="V25" s="14">
        <f>R25*$M25*$Q$7*$E$11</f>
        <v>2.4852320761044813</v>
      </c>
      <c r="W25" s="14">
        <f>U25-V25+$K25</f>
        <v>219.11383882726307</v>
      </c>
      <c r="X25" s="44">
        <f>W25/$D25</f>
        <v>219.11383882726307</v>
      </c>
      <c r="Y25" s="43">
        <f>96+10</f>
        <v>106</v>
      </c>
      <c r="Z25" s="15">
        <f>$I$3+$I$4*Y25+$I$5*($G25/$H25)+$I$6*Y25^2+$I$7*($G25/$H25)^2+$I$8*Y25*($G25/$H25)+$I$9*Y25^3+$I$10*($G25/$H25)^3+$I$11*Y25*($G25/$H25)^2+$I$12*Y25^2*($G25/$H25)</f>
        <v>4.9787525693054091</v>
      </c>
      <c r="AA25" s="15">
        <f>$G$25/(Z25*1000)</f>
        <v>1.4706368412833749E-2</v>
      </c>
      <c r="AB25" s="15">
        <f>Z25</f>
        <v>4.9787525693054091</v>
      </c>
      <c r="AC25" s="15">
        <f>($I25/AB25)/1000</f>
        <v>4.5556569820206809E-3</v>
      </c>
      <c r="AD25" s="24">
        <f>AA25-AC25+$J25</f>
        <v>5.1700711430813076E-2</v>
      </c>
      <c r="AE25" s="16">
        <f>AD25/$D25</f>
        <v>5.1700711430813076E-2</v>
      </c>
      <c r="AF25" s="14">
        <f>AA25*$R$11</f>
        <v>40.549466750055871</v>
      </c>
      <c r="AG25" s="14">
        <f>AC25*$M25*$R$7*$E$11</f>
        <v>3.8911349901189913</v>
      </c>
      <c r="AH25" s="14">
        <f>AF25-AG25+$K25</f>
        <v>232.35883175993692</v>
      </c>
      <c r="AI25" s="44">
        <f>AH25/$D25</f>
        <v>232.35883175993692</v>
      </c>
      <c r="AJ25" s="43">
        <f>89+10</f>
        <v>99</v>
      </c>
      <c r="AK25" s="15">
        <f>$I$3+$I$4*AJ25+$I$5*($G25/$H25)+$I$6*AJ25^2+$I$7*($G25/$H25)^2+$I$8*AJ25*($G25/$H25)+$I$9*AJ25^3+$I$10*($G25/$H25)^3+$I$11*AJ25*($G25/$H25)^2+$I$12*AJ25^2*($G25/$H25)</f>
        <v>5.5747757160485607</v>
      </c>
      <c r="AL25" s="15">
        <f>$G$25/(AK25*1000)</f>
        <v>1.3134047583253507E-2</v>
      </c>
      <c r="AM25" s="15">
        <f>AK25</f>
        <v>5.5747757160485607</v>
      </c>
      <c r="AN25" s="15">
        <f>($I25/AM25)/1000</f>
        <v>4.0685921836845452E-3</v>
      </c>
      <c r="AO25" s="24">
        <f>AL25-AN25+$J25</f>
        <v>5.0615455399568965E-2</v>
      </c>
      <c r="AP25" s="16">
        <f>AO25/$D25</f>
        <v>5.0615455399568965E-2</v>
      </c>
      <c r="AQ25" s="14">
        <f>AL25*$Q$11</f>
        <v>35.95108436445517</v>
      </c>
      <c r="AR25" s="14">
        <f>AN25*$M25*$S$7*$E$11</f>
        <v>3.5329140011980331</v>
      </c>
      <c r="AS25" s="14">
        <f>AQ25-AR25+$K25</f>
        <v>228.11867036325717</v>
      </c>
      <c r="AT25" s="44">
        <f>AS25/$D25</f>
        <v>228.11867036325717</v>
      </c>
      <c r="AU25" s="43">
        <f>88+10</f>
        <v>98</v>
      </c>
      <c r="AV25" s="15">
        <f>$I$3+$I$4*AU25+$I$5*($G25/$H25)+$I$6*AU25^2+$I$7*($G25/$H25)^2+$I$8*AU25*($G25/$H25)+$I$9*AU25^3+$I$10*($G25/$H25)^3+$I$11*AU25*($G25/$H25)^2+$I$12*AU25^2*($G25/$H25)</f>
        <v>5.665598965208031</v>
      </c>
      <c r="AW25" s="178">
        <f>$G$25/(AV25*1000)</f>
        <v>1.2923500228339839E-2</v>
      </c>
      <c r="AX25" s="15">
        <f>AV25</f>
        <v>5.665598965208031</v>
      </c>
      <c r="AY25" s="15">
        <f>($I25/AX25)/1000</f>
        <v>4.0033699955458754E-3</v>
      </c>
      <c r="AZ25" s="24">
        <f>AW25-AY25+$J25</f>
        <v>5.0470130232793967E-2</v>
      </c>
      <c r="BA25" s="16">
        <f>AZ25/$D25</f>
        <v>5.0470130232793967E-2</v>
      </c>
      <c r="BB25" s="14">
        <f>AW25*$S$11</f>
        <v>36.22625878728158</v>
      </c>
      <c r="BC25" s="14">
        <f>AY25*$M25*$T$7*$E$11</f>
        <v>3.5596952112054492</v>
      </c>
      <c r="BD25" s="14">
        <f>BB25-BC25+$K25</f>
        <v>228.36706357607616</v>
      </c>
      <c r="BE25" s="44">
        <f>BD25/$D25</f>
        <v>228.36706357607616</v>
      </c>
      <c r="BF25" s="43">
        <f>83+10</f>
        <v>93</v>
      </c>
      <c r="BG25" s="15">
        <f>$I$3+$I$4*BF25+$I$5*($G25/$H25)+$I$6*BF25^2+$I$7*($G25/$H25)^2+$I$8*BF25*($G25/$H25)+$I$9*BF25^3+$I$10*($G25/$H25)^3+$I$11*BF25*($G25/$H25)^2+$I$12*BF25^2*($G25/$H25)</f>
        <v>6.1439585132971386</v>
      </c>
      <c r="BH25" s="15">
        <f>$G$25/(BG25*1000)</f>
        <v>1.1917295561498667E-2</v>
      </c>
      <c r="BI25" s="15">
        <f>BG25</f>
        <v>6.1439585132971386</v>
      </c>
      <c r="BJ25" s="15">
        <f>($I25/BI25)/1000</f>
        <v>3.6916735122837978E-3</v>
      </c>
      <c r="BK25" s="24">
        <f>BH25-BJ25+$J25</f>
        <v>4.9775622049214874E-2</v>
      </c>
      <c r="BL25" s="16">
        <f>BK25/$D25</f>
        <v>4.9775622049214874E-2</v>
      </c>
      <c r="BM25" s="14">
        <f>BH25*$T$11</f>
        <v>34.207333345940171</v>
      </c>
      <c r="BN25" s="14">
        <f>BJ25*$M25*$U$7*$E$11</f>
        <v>3.2147593897151929</v>
      </c>
      <c r="BO25" s="14">
        <f>BM25-BN25+$K25</f>
        <v>226.69307395622502</v>
      </c>
      <c r="BP25" s="44">
        <f>BO25/$D25</f>
        <v>226.69307395622502</v>
      </c>
      <c r="BQ25" s="43">
        <f>86+10</f>
        <v>96</v>
      </c>
      <c r="BR25" s="15">
        <f>$I$3+$I$4*BQ25+$I$5*($G25/$H25)+$I$6*BQ25^2+$I$7*($G25/$H25)^2+$I$8*BQ25*($G25/$H25)+$I$9*BQ25^3+$I$10*($G25/$H25)^3+$I$11*BQ25*($G25/$H25)^2+$I$12*BQ25^2*($G25/$H25)</f>
        <v>5.851957774803612</v>
      </c>
      <c r="BS25" s="15">
        <f>$G$25/(BR25*1000)</f>
        <v>1.251194426518314E-2</v>
      </c>
      <c r="BT25" s="15">
        <f>BR25</f>
        <v>5.851957774803612</v>
      </c>
      <c r="BU25" s="15">
        <f>($I25/BT25)/1000</f>
        <v>3.8758804791394386E-3</v>
      </c>
      <c r="BV25" s="24">
        <f>BS25-BU25+$J25</f>
        <v>5.0186063786043705E-2</v>
      </c>
      <c r="BW25" s="16">
        <f>BV25/$D25</f>
        <v>5.0186063786043705E-2</v>
      </c>
      <c r="BX25" s="14">
        <f>BS25*$U$11</f>
        <v>35.172595221351543</v>
      </c>
      <c r="BY25" s="14">
        <f>BU25*$M25*$V$7*$E$11</f>
        <v>3.4918484351348638</v>
      </c>
      <c r="BZ25" s="14">
        <f>BX25-BY25+$K25</f>
        <v>227.38124678621671</v>
      </c>
      <c r="CA25" s="44">
        <f>BZ25/$D25</f>
        <v>227.38124678621671</v>
      </c>
      <c r="CB25" s="43">
        <f>83+10</f>
        <v>93</v>
      </c>
      <c r="CC25" s="15">
        <f>$I$3+$I$4*CB25+$I$5*($G25/$H25)+$I$6*CB25^2+$I$7*($G25/$H25)^2+$I$8*CB25*($G25/$H25)+$I$9*CB25^3+$I$10*($G25/$H25)^3+$I$11*CB25*($G25/$H25)^2+$I$12*CB25^2*($G25/$H25)</f>
        <v>6.1439585132971386</v>
      </c>
      <c r="CD25" s="15">
        <f>$G$25/(CC25*1000)</f>
        <v>1.1917295561498667E-2</v>
      </c>
      <c r="CE25" s="15">
        <f>CC25</f>
        <v>6.1439585132971386</v>
      </c>
      <c r="CF25" s="15">
        <f>($I25/CE25)/1000</f>
        <v>3.6916735122837978E-3</v>
      </c>
      <c r="CG25" s="24">
        <f>CD25-CF25+$J25</f>
        <v>4.9775622049214874E-2</v>
      </c>
      <c r="CH25" s="16">
        <f>CG25/$D25</f>
        <v>4.9775622049214874E-2</v>
      </c>
      <c r="CI25" s="14">
        <f>CD25*$V$11</f>
        <v>34.65908905054868</v>
      </c>
      <c r="CJ25" s="14">
        <f>CF25*$M25*$W$7*$E$11</f>
        <v>3.3607402464987426</v>
      </c>
      <c r="CK25" s="14">
        <f>CI25-CJ25+$K25</f>
        <v>226.99884880404997</v>
      </c>
      <c r="CL25" s="44">
        <f>CK25/$D25</f>
        <v>226.99884880404997</v>
      </c>
      <c r="CM25" s="43">
        <f>89+10</f>
        <v>99</v>
      </c>
      <c r="CN25" s="15">
        <f>$I$3+$I$4*CM25+$I$5*($G25/$H25)+$I$6*CM25^2+$I$7*($G25/$H25)^2+$I$8*CM25*($G25/$H25)+$I$9*CM25^3+$I$10*($G25/$H25)^3+$I$11*CM25*($G25/$H25)^2+$I$12*CM25^2*($G25/$H25)</f>
        <v>5.5747757160485607</v>
      </c>
      <c r="CO25" s="15">
        <f>$G$25/(CN25*1000)</f>
        <v>1.3134047583253507E-2</v>
      </c>
      <c r="CP25" s="15">
        <f>CN25</f>
        <v>5.5747757160485607</v>
      </c>
      <c r="CQ25" s="15">
        <f>($I25/CP25)/1000</f>
        <v>4.0685921836845452E-3</v>
      </c>
      <c r="CR25" s="24">
        <f>CO25-CQ25+$J25</f>
        <v>5.0615455399568965E-2</v>
      </c>
      <c r="CS25" s="16">
        <f>CR25/$D25</f>
        <v>5.0615455399568965E-2</v>
      </c>
      <c r="CT25" s="14">
        <f>CO25*$W$11</f>
        <v>38.597988437642485</v>
      </c>
      <c r="CU25" s="14">
        <f>CQ25*$M25*$X$7*$E$11</f>
        <v>3.6876342573886873</v>
      </c>
      <c r="CV25" s="14">
        <f>CT25-CU25+$K25</f>
        <v>230.61085418025382</v>
      </c>
      <c r="CW25" s="44">
        <f>CV25/$D25</f>
        <v>230.61085418025382</v>
      </c>
      <c r="CX25" s="43">
        <f>96+10</f>
        <v>106</v>
      </c>
      <c r="CY25" s="15">
        <f>$I$3+$I$4*CX25+$I$5*($G25/$H25)+$I$6*CX25^2+$I$7*($G25/$H25)^2+$I$8*CX25*($G25/$H25)+$I$9*CX25^3+$I$10*($G25/$H25)^3+$I$11*CX25*($G25/$H25)^2+$I$12*CX25^2*($G25/$H25)</f>
        <v>4.9787525693054091</v>
      </c>
      <c r="CZ25" s="15">
        <f>$G$25/(CY25*1000)</f>
        <v>1.4706368412833749E-2</v>
      </c>
      <c r="DA25" s="15">
        <f>CY25</f>
        <v>4.9787525693054091</v>
      </c>
      <c r="DB25" s="15">
        <f>($I25/DA25)/1000</f>
        <v>4.5556569820206809E-3</v>
      </c>
      <c r="DC25" s="24">
        <f>CZ25-DB25+$J25</f>
        <v>5.1700711430813076E-2</v>
      </c>
      <c r="DD25" s="16">
        <f>DC25/$D25</f>
        <v>5.1700711430813076E-2</v>
      </c>
      <c r="DE25" s="14">
        <f>CZ25*$X$11</f>
        <v>43.029227245472001</v>
      </c>
      <c r="DF25" s="14">
        <f>DB25*$M25*$Y$7*$E$11</f>
        <v>4.0875758550906696</v>
      </c>
      <c r="DG25" s="14">
        <f>DE25-DF25+$K25</f>
        <v>234.64215139038137</v>
      </c>
      <c r="DH25" s="44">
        <f>DG25/$D25</f>
        <v>234.64215139038137</v>
      </c>
      <c r="DI25" s="43">
        <f>100+10</f>
        <v>110</v>
      </c>
      <c r="DJ25" s="15">
        <f>$I$3+$I$4*DI25+$I$5*($G25/$H25)+$I$6*DI25^2+$I$7*($G25/$H25)^2+$I$8*DI25*($G25/$H25)+$I$9*DI25^3+$I$10*($G25/$H25)^3+$I$11*DI25*($G25/$H25)^2+$I$12*DI25^2*($G25/$H25)</f>
        <v>4.6653923073913646</v>
      </c>
      <c r="DK25" s="15">
        <f>$G$25/(DJ25*1000)</f>
        <v>1.5694150608630865E-2</v>
      </c>
      <c r="DL25" s="15">
        <f>DJ25</f>
        <v>4.6653923073913646</v>
      </c>
      <c r="DM25" s="15">
        <f>($I25/DL25)/1000</f>
        <v>4.8616466547036974E-3</v>
      </c>
      <c r="DN25" s="24">
        <f>DK25-DM25+$J25</f>
        <v>5.238250395392717E-2</v>
      </c>
      <c r="DO25" s="16">
        <f>DN25/$D25</f>
        <v>5.238250395392717E-2</v>
      </c>
      <c r="DP25" s="14">
        <f>DK25*$Y$11</f>
        <v>45.457657237458982</v>
      </c>
      <c r="DQ25" s="14">
        <f>DM25*$M25*$Z$7*$E$11</f>
        <v>4.3153555344656631</v>
      </c>
      <c r="DR25" s="14">
        <f>DP25-DQ25+$K25</f>
        <v>236.84280170299337</v>
      </c>
      <c r="DS25" s="44">
        <f>DR25/$D25</f>
        <v>236.84280170299337</v>
      </c>
      <c r="DT25" s="43">
        <f>104+10</f>
        <v>114</v>
      </c>
      <c r="DU25" s="15">
        <f>$I$3+$I$4*DT25+$I$5*($G25/$H25)+$I$6*DT25^2+$I$7*($G25/$H25)^2+$I$8*DT25*($G25/$H25)+$I$9*DT25^3+$I$10*($G25/$H25)^3+$I$11*DT25*($G25/$H25)^2+$I$12*DT25^2*($G25/$H25)</f>
        <v>4.3681956261112758</v>
      </c>
      <c r="DV25" s="15">
        <f>$G$25/(DU25*1000)</f>
        <v>1.6761925469379779E-2</v>
      </c>
      <c r="DW25" s="15">
        <f>DU25</f>
        <v>4.3681956261112758</v>
      </c>
      <c r="DX25" s="15">
        <f>($I25/DW25)/1000</f>
        <v>5.1924160100635108E-3</v>
      </c>
      <c r="DY25" s="24">
        <f>DV25-DX25+$J25</f>
        <v>5.3119509459316275E-2</v>
      </c>
      <c r="DZ25" s="16">
        <f>DY25/$D25</f>
        <v>5.3119509459316275E-2</v>
      </c>
      <c r="EA25" s="14">
        <f>DV25*$Z$11</f>
        <v>48.029882193901635</v>
      </c>
      <c r="EB25" s="14">
        <f>DX25*$M25*$AA$7*$E$11</f>
        <v>4.4438284006644748</v>
      </c>
      <c r="EC25" s="14">
        <f>EA25-EB25+$K25</f>
        <v>239.2865537932372</v>
      </c>
      <c r="ED25" s="44">
        <f>EC25/$D25</f>
        <v>239.2865537932372</v>
      </c>
      <c r="EE25" s="43">
        <f>100+10</f>
        <v>110</v>
      </c>
      <c r="EF25" s="15">
        <f>$I$3+$I$4*EE25+$I$5*($G25/$H25)+$I$6*EE25^2+$I$7*($G25/$H25)^2+$I$8*EE25*($G25/$H25)+$I$9*EE25^3+$I$10*($G25/$H25)^3+$I$11*EE25*($G25/$H25)^2+$I$12*EE25^2*($G25/$H25)</f>
        <v>4.6653923073913646</v>
      </c>
      <c r="EG25" s="15">
        <f>$G$25/(EF25*1000)</f>
        <v>1.5694150608630865E-2</v>
      </c>
      <c r="EH25" s="15">
        <f>EF25</f>
        <v>4.6653923073913646</v>
      </c>
      <c r="EI25" s="15">
        <f>($I25/EH25)/1000</f>
        <v>4.8616466547036974E-3</v>
      </c>
      <c r="EJ25" s="24">
        <f>EG25-EI25+$J25</f>
        <v>5.238250395392717E-2</v>
      </c>
      <c r="EK25" s="16">
        <f>EJ25/$D25</f>
        <v>5.238250395392717E-2</v>
      </c>
      <c r="EL25" s="14">
        <f>EG25*$AA$11</f>
        <v>43.35907821484237</v>
      </c>
      <c r="EM25" s="14">
        <f>EI25*$M25*$AB$7*$E$11</f>
        <v>4.2261251647630624</v>
      </c>
      <c r="EN25" s="14">
        <f>EL25-EM25+$K25</f>
        <v>234.83345305007936</v>
      </c>
      <c r="EO25" s="44">
        <f>EN25/$D25</f>
        <v>234.83345305007936</v>
      </c>
      <c r="EP25" s="43">
        <f>101+10</f>
        <v>111</v>
      </c>
      <c r="EQ25" s="15">
        <f>$I$3+$I$4*EP25+$I$5*($G25/$H25)+$I$6*EP25^2+$I$7*($G25/$H25)^2+$I$8*EP25*($G25/$H25)+$I$9*EP25^3+$I$10*($G25/$H25)^3+$I$11*EP25*($G25/$H25)^2+$I$12*EP25^2*($G25/$H25)</f>
        <v>4.5896914257050003</v>
      </c>
      <c r="ER25" s="15">
        <f>$G$25/(EQ25*1000)</f>
        <v>1.595300483829391E-2</v>
      </c>
      <c r="ES25" s="15">
        <f>EQ25</f>
        <v>4.5896914257050003</v>
      </c>
      <c r="ET25" s="15">
        <f>($I25/ES25)/1000</f>
        <v>4.941833077727136E-3</v>
      </c>
      <c r="EU25" s="24">
        <f>ER25-ET25+$J25</f>
        <v>5.256117176056678E-2</v>
      </c>
      <c r="EV25" s="16">
        <f>EU25/$D25</f>
        <v>5.256117176056678E-2</v>
      </c>
      <c r="EW25" s="14">
        <f>ER25*$AB$11</f>
        <v>44.766782960882622</v>
      </c>
      <c r="EX25" s="14">
        <f>ET25*$M25*$AC$7*$E$11</f>
        <v>4.3947016142412316</v>
      </c>
      <c r="EY25" s="14">
        <f>EW25-EX25+$K25</f>
        <v>236.07258134664141</v>
      </c>
      <c r="EZ25" s="44">
        <f>EY25/$D25</f>
        <v>236.07258134664141</v>
      </c>
      <c r="FA25" s="43">
        <f>103+10</f>
        <v>113</v>
      </c>
      <c r="FB25" s="15">
        <f>$I$3+$I$4*FA25+$I$5*($G25/$H25)+$I$6*FA25^2+$I$7*($G25/$H25)^2+$I$8*FA25*($G25/$H25)+$I$9*FA25^3+$I$10*($G25/$H25)^3+$I$11*FA25*($G25/$H25)^2+$I$12*FA25^2*($G25/$H25)</f>
        <v>4.4411385347921932</v>
      </c>
      <c r="FC25" s="15">
        <f>$G$25/(FB25*1000)</f>
        <v>1.6486621380292964E-2</v>
      </c>
      <c r="FD25" s="15">
        <f>FB25</f>
        <v>4.4411385347921932</v>
      </c>
      <c r="FE25" s="15">
        <f>($I25/FD25)/1000</f>
        <v>5.1071338411133099E-3</v>
      </c>
      <c r="FF25" s="24">
        <f>FC25-FE25+$J25</f>
        <v>5.2929487539179657E-2</v>
      </c>
      <c r="FG25" s="16">
        <f>FF25/$D25</f>
        <v>5.2929487539179657E-2</v>
      </c>
      <c r="FH25" s="14">
        <f>FC25*$AC$11</f>
        <v>47.32900894485379</v>
      </c>
      <c r="FI25" s="14">
        <f>FE25*$M25*$AD$7*$E$11</f>
        <v>4.492011158438717</v>
      </c>
      <c r="FJ25" s="14">
        <f>FH25-FI25+$K25</f>
        <v>238.53749778641512</v>
      </c>
      <c r="FK25" s="44">
        <f>FJ25/$D25</f>
        <v>238.53749778641512</v>
      </c>
      <c r="FL25" s="43">
        <f>113+10</f>
        <v>123</v>
      </c>
      <c r="FM25" s="15">
        <f>$I$3+$I$4*FL25+$I$5*($G25/$H25)+$I$6*FL25^2+$I$7*($G25/$H25)^2+$I$8*FL25*($G25/$H25)+$I$9*FL25^3+$I$10*($G25/$H25)^3+$I$11*FL25*($G25/$H25)^2+$I$12*FL25^2*($G25/$H25)</f>
        <v>3.7435346003448799</v>
      </c>
      <c r="FN25" s="15">
        <f>$G$25/(FM25*1000)</f>
        <v>1.9558886810823781E-2</v>
      </c>
      <c r="FO25" s="15">
        <f>FM25</f>
        <v>3.7435346003448799</v>
      </c>
      <c r="FP25" s="15">
        <f>($I25/FO25)/1000</f>
        <v>6.0588431323754868E-3</v>
      </c>
      <c r="FQ25" s="24">
        <f>FN25-FP25+$J25</f>
        <v>5.5050043678448297E-2</v>
      </c>
      <c r="FR25" s="16">
        <f>FQ25/$D25</f>
        <v>5.5050043678448297E-2</v>
      </c>
      <c r="FS25" s="14">
        <f>FN25*$AD$11</f>
        <v>55.534407831109434</v>
      </c>
      <c r="FT25" s="14">
        <f>FP25*$M25*$AE$7*$E$11</f>
        <v>5.8805748941199862</v>
      </c>
      <c r="FU25" s="14">
        <f>FS25-FT25+$K25</f>
        <v>245.35433293698946</v>
      </c>
      <c r="FV25" s="44">
        <f>FU25/$D25</f>
        <v>245.35433293698946</v>
      </c>
      <c r="FW25" s="43">
        <f>85+10</f>
        <v>95</v>
      </c>
      <c r="FX25" s="15">
        <f>$I$3+$I$4*FW25+$I$5*($G25/$H25)+$I$6*FW25^2+$I$7*($G25/$H25)^2+$I$8*FW25*($G25/$H25)+$I$9*FW25^3+$I$10*($G25/$H25)^3+$I$11*FW25*($G25/$H25)^2+$I$12*FW25^2*($G25/$H25)</f>
        <v>5.9475842346941983</v>
      </c>
      <c r="FY25" s="15">
        <f>$G$25/(FX25*1000)</f>
        <v>1.2310774699656288E-2</v>
      </c>
      <c r="FZ25" s="15">
        <f>FX25</f>
        <v>5.9475842346941983</v>
      </c>
      <c r="GA25" s="15">
        <f>($I25/FZ25)/1000</f>
        <v>3.8135632904198425E-3</v>
      </c>
      <c r="GB25" s="24">
        <f>FY25-GA25+$J25</f>
        <v>5.0047211409236445E-2</v>
      </c>
      <c r="GC25" s="16">
        <f>GB25/$D25</f>
        <v>5.0047211409236445E-2</v>
      </c>
      <c r="GD25" s="14">
        <f>FY25*$AE$11</f>
        <v>38.571798138318748</v>
      </c>
      <c r="GE25" s="14">
        <f>GA25*$M25*$AF$7*$E$11</f>
        <v>3.0934548981344467</v>
      </c>
      <c r="GF25" s="14">
        <f>GD25-GE25+$K25</f>
        <v>231.17884324018434</v>
      </c>
      <c r="GG25" s="44">
        <f>GF25/$D25</f>
        <v>231.17884324018434</v>
      </c>
    </row>
    <row r="26" spans="2:202" ht="13.8" x14ac:dyDescent="0.25">
      <c r="B26" s="31" t="s">
        <v>148</v>
      </c>
      <c r="C26" s="3" t="s">
        <v>156</v>
      </c>
      <c r="D26" s="3">
        <v>1</v>
      </c>
      <c r="E26" s="3">
        <v>38</v>
      </c>
      <c r="F26" s="3">
        <f>E26-10</f>
        <v>28</v>
      </c>
      <c r="G26" s="14">
        <f>'Cooling Load'!E33</f>
        <v>29.544657876712325</v>
      </c>
      <c r="H26" s="14">
        <f>G26*1.15</f>
        <v>33.976356558219173</v>
      </c>
      <c r="I26" s="14">
        <f>'Cooling Load'!G33</f>
        <v>22.681488904109589</v>
      </c>
      <c r="J26" s="110">
        <f>'Cooling Load'!G21</f>
        <v>3.0550000000000001E-2</v>
      </c>
      <c r="K26" s="109">
        <f>'Cooling Load'!G27</f>
        <v>143.8905</v>
      </c>
      <c r="L26" s="98">
        <f>I26/H26</f>
        <v>0.66756683769916292</v>
      </c>
      <c r="M26" s="97">
        <f>(1-(1-L26))*(1-$D$8)</f>
        <v>0.63418849581420478</v>
      </c>
      <c r="N26" s="43">
        <f>69+15</f>
        <v>84</v>
      </c>
      <c r="O26" s="15">
        <f>$H$3+$H$4*N26+$H$5*($G26/$H26)+$H$6*N26^2+$H$7*($G26/$H26)^2+$H$8*N26*($G26/$H26)+$H$9*N26^3+$H$10*($G26/$H26)^3+$H$11*N26*($G26/$H26)^2+$H$12*N26^2*($G26/$H26)</f>
        <v>9.517424087669232</v>
      </c>
      <c r="P26" s="15">
        <f>$G$26/(O26*1000)</f>
        <v>3.1042703996967381E-3</v>
      </c>
      <c r="Q26" s="15">
        <f>O26</f>
        <v>9.517424087669232</v>
      </c>
      <c r="R26" s="15">
        <f>($I26/Q26)/1000</f>
        <v>2.3831541702019677E-3</v>
      </c>
      <c r="S26" s="24">
        <f>P26-R26+$J26</f>
        <v>3.1271116229494772E-2</v>
      </c>
      <c r="T26" s="16">
        <f>S26/$D26</f>
        <v>3.1271116229494772E-2</v>
      </c>
      <c r="U26" s="14">
        <f>P26*$Q$10</f>
        <v>8.9692070260776067</v>
      </c>
      <c r="V26" s="14">
        <f>R26*$M26*$Q$7*$D$11</f>
        <v>5.2861470224569489</v>
      </c>
      <c r="W26" s="14">
        <f>U26-V26+$K26</f>
        <v>147.57356000362066</v>
      </c>
      <c r="X26" s="44">
        <f>W26/$D26</f>
        <v>147.57356000362066</v>
      </c>
      <c r="Y26" s="43">
        <f>96+15</f>
        <v>111</v>
      </c>
      <c r="Z26" s="15">
        <f>$H$3+$H$4*Y26+$H$5*($G26/$H26)+$H$6*Y26^2+$H$7*($G26/$H26)^2+$H$8*Y26*($G26/$H26)+$H$9*Y26^3+$H$10*($G26/$H26)^3+$H$11*Y26*($G26/$H26)^2+$H$12*Y26^2*($G26/$H26)</f>
        <v>6.4425744504920166</v>
      </c>
      <c r="AA26" s="15">
        <f>$G$26/(Z26*1000)</f>
        <v>4.5858465592828364E-3</v>
      </c>
      <c r="AB26" s="15">
        <f>Z26</f>
        <v>6.4425744504920166</v>
      </c>
      <c r="AC26" s="15">
        <f>($I26/AB26)/1000</f>
        <v>3.5205629486171346E-3</v>
      </c>
      <c r="AD26" s="24">
        <f>AA26-AC26+$J26</f>
        <v>3.16152836106657E-2</v>
      </c>
      <c r="AE26" s="16">
        <f>AD26/$D26</f>
        <v>3.16152836106657E-2</v>
      </c>
      <c r="AF26" s="14">
        <f>AA26*$R$10</f>
        <v>13.346897373424133</v>
      </c>
      <c r="AG26" s="14">
        <f>AC26*$M26*$R$7*$D$11</f>
        <v>7.8662095327304353</v>
      </c>
      <c r="AH26" s="14">
        <f>AF26-AG26+$K26</f>
        <v>149.37118784069369</v>
      </c>
      <c r="AI26" s="44">
        <f>AH26/$D26</f>
        <v>149.37118784069369</v>
      </c>
      <c r="AJ26" s="43">
        <f>89+15</f>
        <v>104</v>
      </c>
      <c r="AK26" s="15">
        <f>$H$3+$H$4*AJ26+$H$5*($G26/$H26)+$H$6*AJ26^2+$H$7*($G26/$H26)^2+$H$8*AJ26*($G26/$H26)+$H$9*AJ26^3+$H$10*($G26/$H26)^3+$H$11*AJ26*($G26/$H26)^2+$H$12*AJ26^2*($G26/$H26)</f>
        <v>7.1731404854674166</v>
      </c>
      <c r="AL26" s="15">
        <f>$G$26/(AK26*1000)</f>
        <v>4.1187898015616706E-3</v>
      </c>
      <c r="AM26" s="15">
        <f>AK26</f>
        <v>7.1731404854674166</v>
      </c>
      <c r="AN26" s="15">
        <f>($I26/AM26)/1000</f>
        <v>3.1620026054225005E-3</v>
      </c>
      <c r="AO26" s="24">
        <f>AL26-AN26+$J26</f>
        <v>3.1506787196139169E-2</v>
      </c>
      <c r="AP26" s="16">
        <f>AO26/$D26</f>
        <v>3.1506787196139169E-2</v>
      </c>
      <c r="AQ26" s="14">
        <f>AL26*$Q$10</f>
        <v>11.900470535914875</v>
      </c>
      <c r="AR26" s="14">
        <f>AN26*$M26*$S$7*$D$11</f>
        <v>7.1825596995288112</v>
      </c>
      <c r="AS26" s="14">
        <f>AQ26-AR26+$K26</f>
        <v>148.60841083638607</v>
      </c>
      <c r="AT26" s="44">
        <f>AS26/$D26</f>
        <v>148.60841083638607</v>
      </c>
      <c r="AU26" s="43">
        <f>88+15</f>
        <v>103</v>
      </c>
      <c r="AV26" s="15">
        <f>$H$3+$H$4*AU26+$H$5*($G26/$H26)+$H$6*AU26^2+$H$7*($G26/$H26)^2+$H$8*AU26*($G26/$H26)+$H$9*AU26^3+$H$10*($G26/$H26)^3+$H$11*AU26*($G26/$H26)^2+$H$12*AU26^2*($G26/$H26)</f>
        <v>7.281090917823354</v>
      </c>
      <c r="AW26" s="178">
        <f>$G$26/(AV26*1000)</f>
        <v>4.0577240704947207E-3</v>
      </c>
      <c r="AX26" s="15">
        <f>AV26</f>
        <v>7.281090917823354</v>
      </c>
      <c r="AY26" s="15">
        <f>($I26/AX26)/1000</f>
        <v>3.1151223298953265E-3</v>
      </c>
      <c r="AZ26" s="24">
        <f>AW26-AY26+$J26</f>
        <v>3.1492601740599396E-2</v>
      </c>
      <c r="BA26" s="16">
        <f>AZ26/$D26</f>
        <v>3.1492601740599396E-2</v>
      </c>
      <c r="BB26" s="14">
        <f>AW26*$S$10</f>
        <v>12.006237705172319</v>
      </c>
      <c r="BC26" s="14">
        <f>AY26*$M26*$T$7*$D$11</f>
        <v>7.2458661275537999</v>
      </c>
      <c r="BD26" s="14">
        <f>BB26-BC26+$K26</f>
        <v>148.65087157761852</v>
      </c>
      <c r="BE26" s="44">
        <f>BD26/$D26</f>
        <v>148.65087157761852</v>
      </c>
      <c r="BF26" s="43">
        <f>83+15</f>
        <v>98</v>
      </c>
      <c r="BG26" s="15">
        <f>$H$3+$H$4*BF26+$H$5*($G26/$H26)+$H$6*BF26^2+$H$7*($G26/$H26)^2+$H$8*BF26*($G26/$H26)+$H$9*BF26^3+$H$10*($G26/$H26)^3+$H$11*BF26*($G26/$H26)^2+$H$12*BF26^2*($G26/$H26)</f>
        <v>7.8348543036092488</v>
      </c>
      <c r="BH26" s="15">
        <f>$G$26/(BG26*1000)</f>
        <v>3.770926265100056E-3</v>
      </c>
      <c r="BI26" s="15">
        <f>BG26</f>
        <v>7.8348543036092488</v>
      </c>
      <c r="BJ26" s="15">
        <f>($I26/BI26)/1000</f>
        <v>2.8949471202879937E-3</v>
      </c>
      <c r="BK26" s="24">
        <f>BH26-BJ26+$J26</f>
        <v>3.1425979144812065E-2</v>
      </c>
      <c r="BL26" s="16">
        <f>BK26/$D26</f>
        <v>3.1425979144812065E-2</v>
      </c>
      <c r="BM26" s="14">
        <f>BH26*$T$10</f>
        <v>11.425379800326132</v>
      </c>
      <c r="BN26" s="14">
        <f>BJ26*$M26*$U$7*$D$11</f>
        <v>6.5946832192271119</v>
      </c>
      <c r="BO26" s="14">
        <f>BM26-BN26+$K26</f>
        <v>148.72119658109904</v>
      </c>
      <c r="BP26" s="44">
        <f>BO26/$D26</f>
        <v>148.72119658109904</v>
      </c>
      <c r="BQ26" s="43">
        <f>86+15</f>
        <v>101</v>
      </c>
      <c r="BR26" s="15">
        <f>$H$3+$H$4*BQ26+$H$5*($G26/$H26)+$H$6*BQ26^2+$H$7*($G26/$H26)^2+$H$8*BQ26*($G26/$H26)+$H$9*BQ26^3+$H$10*($G26/$H26)^3+$H$11*BQ26*($G26/$H26)^2+$H$12*BQ26^2*($G26/$H26)</f>
        <v>7.4997676382165306</v>
      </c>
      <c r="BS26" s="15">
        <f>$G$26/(BR26*1000)</f>
        <v>3.939409765998849E-3</v>
      </c>
      <c r="BT26" s="15">
        <f>BR26</f>
        <v>7.4997676382165306</v>
      </c>
      <c r="BU26" s="15">
        <f>($I26/BT26)/1000</f>
        <v>3.024292217872409E-3</v>
      </c>
      <c r="BV26" s="24">
        <f>BS26-BU26+$J26</f>
        <v>3.1465117548126441E-2</v>
      </c>
      <c r="BW26" s="16">
        <f>BV26/$D26</f>
        <v>3.1465117548126441E-2</v>
      </c>
      <c r="BX26" s="14">
        <f>BS26*$U$10</f>
        <v>11.689390470519342</v>
      </c>
      <c r="BY26" s="14">
        <f>BU26*$M26*$V$7*$D$11</f>
        <v>7.1274942557826337</v>
      </c>
      <c r="BZ26" s="14">
        <f>BX26-BY26+$K26</f>
        <v>148.45239621473672</v>
      </c>
      <c r="CA26" s="44">
        <f>BZ26/$D26</f>
        <v>148.45239621473672</v>
      </c>
      <c r="CB26" s="43">
        <f>83+15</f>
        <v>98</v>
      </c>
      <c r="CC26" s="15">
        <f>$H$3+$H$4*CB26+$H$5*($G26/$H26)+$H$6*CB26^2+$H$7*($G26/$H26)^2+$H$8*CB26*($G26/$H26)+$H$9*CB26^3+$H$10*($G26/$H26)^3+$H$11*CB26*($G26/$H26)^2+$H$12*CB26^2*($G26/$H26)</f>
        <v>7.8348543036092488</v>
      </c>
      <c r="CD26" s="15">
        <f>$G$26/(CC26*1000)</f>
        <v>3.770926265100056E-3</v>
      </c>
      <c r="CE26" s="15">
        <f>CC26</f>
        <v>7.8348543036092488</v>
      </c>
      <c r="CF26" s="15">
        <f>($I26/CE26)/1000</f>
        <v>2.8949471202879937E-3</v>
      </c>
      <c r="CG26" s="24">
        <f>CD26-CF26+$J26</f>
        <v>3.1425979144812065E-2</v>
      </c>
      <c r="CH26" s="16">
        <f>CG26/$D26</f>
        <v>3.1425979144812065E-2</v>
      </c>
      <c r="CI26" s="14">
        <f>CD26*$V$10</f>
        <v>11.576267928608974</v>
      </c>
      <c r="CJ26" s="14">
        <f>CF26*$M26*$W$7*$D$11</f>
        <v>6.8941449797678152</v>
      </c>
      <c r="CK26" s="14">
        <f>CI26-CJ26+$K26</f>
        <v>148.57262294884117</v>
      </c>
      <c r="CL26" s="44">
        <f>CK26/$D26</f>
        <v>148.57262294884117</v>
      </c>
      <c r="CM26" s="43">
        <f>89+15</f>
        <v>104</v>
      </c>
      <c r="CN26" s="15">
        <f>$H$3+$H$4*CM26+$H$5*($G26/$H26)+$H$6*CM26^2+$H$7*($G26/$H26)^2+$H$8*CM26*($G26/$H26)+$H$9*CM26^3+$H$10*($G26/$H26)^3+$H$11*CM26*($G26/$H26)^2+$H$12*CM26^2*($G26/$H26)</f>
        <v>7.1731404854674166</v>
      </c>
      <c r="CO26" s="15">
        <f>$G$26/(CN26*1000)</f>
        <v>4.1187898015616706E-3</v>
      </c>
      <c r="CP26" s="15">
        <f>CN26</f>
        <v>7.1731404854674166</v>
      </c>
      <c r="CQ26" s="15">
        <f>($I26/CP26)/1000</f>
        <v>3.1620026054225005E-3</v>
      </c>
      <c r="CR26" s="24">
        <f>CO26-CQ26+$J26</f>
        <v>3.1506787196139169E-2</v>
      </c>
      <c r="CS26" s="16">
        <f>CR26/$D26</f>
        <v>3.1506787196139169E-2</v>
      </c>
      <c r="CT26" s="14">
        <f>CO26*$W$10</f>
        <v>12.776644495371356</v>
      </c>
      <c r="CU26" s="14">
        <f>CQ26*$M26*$X$7*$D$11</f>
        <v>7.497112353920885</v>
      </c>
      <c r="CV26" s="14">
        <f>CT26-CU26+$K26</f>
        <v>149.17003214145046</v>
      </c>
      <c r="CW26" s="44">
        <f>CV26/$D26</f>
        <v>149.17003214145046</v>
      </c>
      <c r="CX26" s="43">
        <f>96+15</f>
        <v>111</v>
      </c>
      <c r="CY26" s="15">
        <f>$H$3+$H$4*CX26+$H$5*($G26/$H26)+$H$6*CX26^2+$H$7*($G26/$H26)^2+$H$8*CX26*($G26/$H26)+$H$9*CX26^3+$H$10*($G26/$H26)^3+$H$11*CX26*($G26/$H26)^2+$H$12*CX26^2*($G26/$H26)</f>
        <v>6.4425744504920166</v>
      </c>
      <c r="CZ26" s="15">
        <f>$G$26/(CY26*1000)</f>
        <v>4.5858465592828364E-3</v>
      </c>
      <c r="DA26" s="15">
        <f>CY26</f>
        <v>6.4425744504920166</v>
      </c>
      <c r="DB26" s="15">
        <f>($I26/DA26)/1000</f>
        <v>3.5205629486171346E-3</v>
      </c>
      <c r="DC26" s="24">
        <f>CZ26-DB26+$J26</f>
        <v>3.16152836106657E-2</v>
      </c>
      <c r="DD26" s="16">
        <f>DC26/$D26</f>
        <v>3.16152836106657E-2</v>
      </c>
      <c r="DE26" s="14">
        <f>CZ26*$X$10</f>
        <v>14.163113010660471</v>
      </c>
      <c r="DF26" s="14">
        <f>DB26*$M26*$Y$7*$D$11</f>
        <v>8.2633288844316652</v>
      </c>
      <c r="DG26" s="14">
        <f>DE26-DF26+$K26</f>
        <v>149.79028412622881</v>
      </c>
      <c r="DH26" s="44">
        <f>DG26/$D26</f>
        <v>149.79028412622881</v>
      </c>
      <c r="DI26" s="43">
        <f>100+15</f>
        <v>115</v>
      </c>
      <c r="DJ26" s="15">
        <f>$H$3+$H$4*DI26+$H$5*($G26/$H26)+$H$6*DI26^2+$H$7*($G26/$H26)^2+$H$8*DI26*($G26/$H26)+$H$9*DI26^3+$H$10*($G26/$H26)^3+$H$11*DI26*($G26/$H26)^2+$H$12*DI26^2*($G26/$H26)</f>
        <v>6.044045271560071</v>
      </c>
      <c r="DK26" s="15">
        <f>$G$26/(DJ26*1000)</f>
        <v>4.8882257741736509E-3</v>
      </c>
      <c r="DL26" s="15">
        <f>DJ26</f>
        <v>6.044045271560071</v>
      </c>
      <c r="DM26" s="15">
        <f>($I26/DL26)/1000</f>
        <v>3.7527000353283443E-3</v>
      </c>
      <c r="DN26" s="24">
        <f>DK26-DM26+$J26</f>
        <v>3.168552573884531E-2</v>
      </c>
      <c r="DO26" s="16">
        <f>DN26/$D26</f>
        <v>3.168552573884531E-2</v>
      </c>
      <c r="DP26" s="14">
        <f>DK26*$Y$10</f>
        <v>14.94519500494113</v>
      </c>
      <c r="DQ26" s="14">
        <f>DM26*$M26*$Z$7*$D$11</f>
        <v>8.7137512500890661</v>
      </c>
      <c r="DR26" s="14">
        <f>DP26-DQ26+$K26</f>
        <v>150.12194375485205</v>
      </c>
      <c r="DS26" s="44">
        <f>DR26/$D26</f>
        <v>150.12194375485205</v>
      </c>
      <c r="DT26" s="43">
        <f>104+15</f>
        <v>119</v>
      </c>
      <c r="DU26" s="15">
        <f>$H$3+$H$4*DT26+$H$5*($G26/$H26)+$H$6*DT26^2+$H$7*($G26/$H26)^2+$H$8*DT26*($G26/$H26)+$H$9*DT26^3+$H$10*($G26/$H26)^3+$H$11*DT26*($G26/$H26)^2+$H$12*DT26^2*($G26/$H26)</f>
        <v>5.6585848385945274</v>
      </c>
      <c r="DV26" s="15">
        <f>$G$26/(DU26*1000)</f>
        <v>5.2212096698104104E-3</v>
      </c>
      <c r="DW26" s="15">
        <f>DU26</f>
        <v>5.6585848385945274</v>
      </c>
      <c r="DX26" s="15">
        <f>($I26/DW26)/1000</f>
        <v>4.0083323924755693E-3</v>
      </c>
      <c r="DY26" s="24">
        <f>DV26-DX26+$J26</f>
        <v>3.1762877277334844E-2</v>
      </c>
      <c r="DZ26" s="16">
        <f>DY26/$D26</f>
        <v>3.1762877277334844E-2</v>
      </c>
      <c r="EA26" s="14">
        <f>DV26*$Z$10</f>
        <v>15.792098554835091</v>
      </c>
      <c r="EB26" s="14">
        <f>DX26*$M26*$AA$7*$D$11</f>
        <v>8.9738673127034687</v>
      </c>
      <c r="EC26" s="14">
        <f>EA26-EB26+$K26</f>
        <v>150.70873124213162</v>
      </c>
      <c r="ED26" s="44">
        <f>EC26/$D26</f>
        <v>150.70873124213162</v>
      </c>
      <c r="EE26" s="43">
        <f>100+15</f>
        <v>115</v>
      </c>
      <c r="EF26" s="15">
        <f>$H$3+$H$4*EE26+$H$5*($G26/$H26)+$H$6*EE26^2+$H$7*($G26/$H26)^2+$H$8*EE26*($G26/$H26)+$H$9*EE26^3+$H$10*($G26/$H26)^3+$H$11*EE26*($G26/$H26)^2+$H$12*EE26^2*($G26/$H26)</f>
        <v>6.044045271560071</v>
      </c>
      <c r="EG26" s="15">
        <f>$G$26/(EF26*1000)</f>
        <v>4.8882257741736509E-3</v>
      </c>
      <c r="EH26" s="15">
        <f>EF26</f>
        <v>6.044045271560071</v>
      </c>
      <c r="EI26" s="15">
        <f>($I26/EH26)/1000</f>
        <v>3.7527000353283443E-3</v>
      </c>
      <c r="EJ26" s="24">
        <f>EG26-EI26+$J26</f>
        <v>3.168552573884531E-2</v>
      </c>
      <c r="EK26" s="16">
        <f>EJ26/$D26</f>
        <v>3.168552573884531E-2</v>
      </c>
      <c r="EL26" s="14">
        <f>EG26*$AA$10</f>
        <v>14.255241438648694</v>
      </c>
      <c r="EM26" s="14">
        <f>EI26*$M26*$AB$7*$D$11</f>
        <v>8.5335734549266498</v>
      </c>
      <c r="EN26" s="14">
        <f>EL26-EM26+$K26</f>
        <v>149.61216798372206</v>
      </c>
      <c r="EO26" s="44">
        <f>EN26/$D26</f>
        <v>149.61216798372206</v>
      </c>
      <c r="EP26" s="43">
        <f>101+15</f>
        <v>116</v>
      </c>
      <c r="EQ26" s="15">
        <f>$H$3+$H$4*EP26+$H$5*($G26/$H26)+$H$6*EP26^2+$H$7*($G26/$H26)^2+$H$8*EP26*($G26/$H26)+$H$9*EP26^3+$H$10*($G26/$H26)^3+$H$11*EP26*($G26/$H26)^2+$H$12*EP26^2*($G26/$H26)</f>
        <v>5.9464769593176205</v>
      </c>
      <c r="ER26" s="15">
        <f>$G$26/(EQ26*1000)</f>
        <v>4.9684305646586881E-3</v>
      </c>
      <c r="ES26" s="15">
        <f>EQ26</f>
        <v>5.9464769593176205</v>
      </c>
      <c r="ET26" s="15">
        <f>($I26/ES26)/1000</f>
        <v>3.8142734024336268E-3</v>
      </c>
      <c r="EU26" s="24">
        <f>ER26-ET26+$J26</f>
        <v>3.1704157162225063E-2</v>
      </c>
      <c r="EV26" s="16">
        <f>EU26/$D26</f>
        <v>3.1704157162225063E-2</v>
      </c>
      <c r="EW26" s="14">
        <f>ER26*$AB$10</f>
        <v>14.71681091144441</v>
      </c>
      <c r="EX26" s="14">
        <f>ET26*$M26*$AC$7*$D$11</f>
        <v>8.8732201404592601</v>
      </c>
      <c r="EY26" s="14">
        <f>EW26-EX26+$K26</f>
        <v>149.73409077098515</v>
      </c>
      <c r="EZ26" s="44">
        <f>EY26/$D26</f>
        <v>149.73409077098515</v>
      </c>
      <c r="FA26" s="43">
        <f>103+15</f>
        <v>118</v>
      </c>
      <c r="FB26" s="15">
        <f>$H$3+$H$4*FA26+$H$5*($G26/$H26)+$H$6*FA26^2+$H$7*($G26/$H26)^2+$H$8*FA26*($G26/$H26)+$H$9*FA26^3+$H$10*($G26/$H26)^3+$H$11*FA26*($G26/$H26)^2+$H$12*FA26^2*($G26/$H26)</f>
        <v>5.7537555392081599</v>
      </c>
      <c r="FC26" s="15">
        <f>$G$26/(FB26*1000)</f>
        <v>5.134847609597662E-3</v>
      </c>
      <c r="FD26" s="15">
        <f>FB26</f>
        <v>5.7537555392081599</v>
      </c>
      <c r="FE26" s="15">
        <f>($I26/FD26)/1000</f>
        <v>3.9420320779271498E-3</v>
      </c>
      <c r="FF26" s="24">
        <f>FC26-FE26+$J26</f>
        <v>3.1742815531670514E-2</v>
      </c>
      <c r="FG26" s="16">
        <f>FF26/$D26</f>
        <v>3.1742815531670514E-2</v>
      </c>
      <c r="FH26" s="14">
        <f>FC26*$AC$10</f>
        <v>15.559814004963604</v>
      </c>
      <c r="FI26" s="14">
        <f>FE26*$M26*$AD$7*$D$11</f>
        <v>9.0700954301150283</v>
      </c>
      <c r="FJ26" s="14">
        <f>FH26-FI26+$K26</f>
        <v>150.38021857484858</v>
      </c>
      <c r="FK26" s="44">
        <f>FJ26/$D26</f>
        <v>150.38021857484858</v>
      </c>
      <c r="FL26" s="43">
        <f>113+15</f>
        <v>128</v>
      </c>
      <c r="FM26" s="15">
        <f>$H$3+$H$4*FL26+$H$5*($G26/$H26)+$H$6*FL26^2+$H$7*($G26/$H26)^2+$H$8*FL26*($G26/$H26)+$H$9*FL26^3+$H$10*($G26/$H26)^3+$H$11*FL26*($G26/$H26)^2+$H$12*FL26^2*($G26/$H26)</f>
        <v>4.8361654691082965</v>
      </c>
      <c r="FN26" s="15">
        <f>$G$26/(FM26*1000)</f>
        <v>6.1091081488904965E-3</v>
      </c>
      <c r="FO26" s="15">
        <f>FM26</f>
        <v>4.8361654691082965</v>
      </c>
      <c r="FP26" s="15">
        <f>($I26/FO26)/1000</f>
        <v>4.6899737093345686E-3</v>
      </c>
      <c r="FQ26" s="24">
        <f>FN26-FP26+$J26</f>
        <v>3.196913443955593E-2</v>
      </c>
      <c r="FR26" s="16">
        <f>FQ26/$D26</f>
        <v>3.196913443955593E-2</v>
      </c>
      <c r="FS26" s="14">
        <f>FN26*$AD$10</f>
        <v>18.309518405790548</v>
      </c>
      <c r="FT26" s="14">
        <f>FP26*$M26*$AE$7*$D$11</f>
        <v>11.907719634326686</v>
      </c>
      <c r="FU26" s="14">
        <f>FS26-FT26+$K26</f>
        <v>150.29229877146386</v>
      </c>
      <c r="FV26" s="44">
        <f>FU26/$D26</f>
        <v>150.29229877146386</v>
      </c>
      <c r="FW26" s="43">
        <f>85+15</f>
        <v>100</v>
      </c>
      <c r="FX26" s="15">
        <f>$H$3+$H$4*FW26+$H$5*($G26/$H26)+$H$6*FW26^2+$H$7*($G26/$H26)^2+$H$8*FW26*($G26/$H26)+$H$9*FW26^3+$H$10*($G26/$H26)^3+$H$11*FW26*($G26/$H26)^2+$H$12*FW26^2*($G26/$H26)</f>
        <v>7.6105115190003954</v>
      </c>
      <c r="FY26" s="15">
        <f>$G$26/(FX26*1000)</f>
        <v>3.8820856919999612E-3</v>
      </c>
      <c r="FZ26" s="15">
        <f>FX26</f>
        <v>7.6105115190003954</v>
      </c>
      <c r="GA26" s="15">
        <f>($I26/FZ26)/1000</f>
        <v>2.9802844194484176E-3</v>
      </c>
      <c r="GB26" s="24">
        <f>FY26-GA26+$J26</f>
        <v>3.1451801272551545E-2</v>
      </c>
      <c r="GC26" s="16">
        <f>GB26/$D26</f>
        <v>3.1451801272551545E-2</v>
      </c>
      <c r="GD26" s="14">
        <f>FY26*$AE$10</f>
        <v>12.838985708283262</v>
      </c>
      <c r="GE26" s="14">
        <f>GA26*$M26*$AF$7*$D$11</f>
        <v>6.3240989712850899</v>
      </c>
      <c r="GF26" s="14">
        <f>GD26-GE26+$K26</f>
        <v>150.40538673699817</v>
      </c>
      <c r="GG26" s="44">
        <f>GF26/$D26</f>
        <v>150.40538673699817</v>
      </c>
    </row>
    <row r="27" spans="2:202" ht="13.8" x14ac:dyDescent="0.25">
      <c r="B27" s="31" t="s">
        <v>149</v>
      </c>
      <c r="C27" s="3" t="s">
        <v>156</v>
      </c>
      <c r="D27" s="3">
        <v>1</v>
      </c>
      <c r="E27" s="3">
        <v>0</v>
      </c>
      <c r="F27" s="3">
        <f>E27-10</f>
        <v>-10</v>
      </c>
      <c r="G27" s="14">
        <f>'Cooling Load'!E33</f>
        <v>29.544657876712325</v>
      </c>
      <c r="H27" s="14">
        <f>G27*1.15</f>
        <v>33.976356558219173</v>
      </c>
      <c r="I27" s="14">
        <f>'Cooling Load'!G33</f>
        <v>22.681488904109589</v>
      </c>
      <c r="J27" s="110">
        <f>'Cooling Load'!G21</f>
        <v>3.0550000000000001E-2</v>
      </c>
      <c r="K27" s="109">
        <f>'Cooling Load'!G27</f>
        <v>143.8905</v>
      </c>
      <c r="L27" s="98">
        <f>I27/H27</f>
        <v>0.66756683769916292</v>
      </c>
      <c r="M27" s="97">
        <f>(1-(1-L27))*(1-$E$8)</f>
        <v>0.60081015392924664</v>
      </c>
      <c r="N27" s="43">
        <f>69+10</f>
        <v>79</v>
      </c>
      <c r="O27" s="15">
        <f>$I$3+$I$4*N27+$I$5*($G27/$H27)+$I$6*N27^2+$I$7*($G27/$H27)^2+$I$8*N27*($G27/$H27)+$I$9*N27^3+$I$10*($G27/$H27)^3+$I$11*N27*($G27/$H27)^2+$I$12*N27^2*($G27/$H27)</f>
        <v>7.7386212864169197</v>
      </c>
      <c r="P27" s="15">
        <f>$G$27/(O27*1000)</f>
        <v>3.8178193224896622E-3</v>
      </c>
      <c r="Q27" s="15">
        <f>O27</f>
        <v>7.7386212864169197</v>
      </c>
      <c r="R27" s="15">
        <f>($I27/Q27)/1000</f>
        <v>2.9309470078243624E-3</v>
      </c>
      <c r="S27" s="24">
        <f>P27-R27+$J27</f>
        <v>3.1436872314665298E-2</v>
      </c>
      <c r="T27" s="16">
        <f>S27/$D27</f>
        <v>3.1436872314665298E-2</v>
      </c>
      <c r="U27" s="14">
        <f>P27*$Q$11</f>
        <v>10.450300539955315</v>
      </c>
      <c r="V27" s="14">
        <f>R27*$M27*$Q$7*$E$11</f>
        <v>6.1590534059980628</v>
      </c>
      <c r="W27" s="14">
        <f>U27-V27+$K27</f>
        <v>148.18174713395726</v>
      </c>
      <c r="X27" s="44">
        <f>W27/$D27</f>
        <v>148.18174713395726</v>
      </c>
      <c r="Y27" s="43">
        <f>96+10</f>
        <v>106</v>
      </c>
      <c r="Z27" s="15">
        <f>$I$3+$I$4*Y27+$I$5*($G27/$H27)+$I$6*Y27^2+$I$7*($G27/$H27)^2+$I$8*Y27*($G27/$H27)+$I$9*Y27^3+$I$10*($G27/$H27)^3+$I$11*Y27*($G27/$H27)^2+$I$12*Y27^2*($G27/$H27)</f>
        <v>4.9787525693054091</v>
      </c>
      <c r="AA27" s="15">
        <f>$G$27/(Z27*1000)</f>
        <v>5.9341486578101087E-3</v>
      </c>
      <c r="AB27" s="15">
        <f>Z27</f>
        <v>4.9787525693054091</v>
      </c>
      <c r="AC27" s="15">
        <f>($I27/AB27)/1000</f>
        <v>4.5556569820206809E-3</v>
      </c>
      <c r="AD27" s="24">
        <f>AA27-AC27+$J27</f>
        <v>3.1928491675789428E-2</v>
      </c>
      <c r="AE27" s="16">
        <f>AD27/$D27</f>
        <v>3.1928491675789428E-2</v>
      </c>
      <c r="AF27" s="14">
        <f>AA27*$R$11</f>
        <v>16.362065530724298</v>
      </c>
      <c r="AG27" s="14">
        <f>AC27*$M27*$R$7*$E$11</f>
        <v>9.6432475842079359</v>
      </c>
      <c r="AH27" s="14">
        <f>AF27-AG27+$K27</f>
        <v>150.60931794651637</v>
      </c>
      <c r="AI27" s="44">
        <f>AH27/$D27</f>
        <v>150.60931794651637</v>
      </c>
      <c r="AJ27" s="43">
        <f>89+10</f>
        <v>99</v>
      </c>
      <c r="AK27" s="15">
        <f>$I$3+$I$4*AJ27+$I$5*($G27/$H27)+$I$6*AJ27^2+$I$7*($G27/$H27)^2+$I$8*AJ27*($G27/$H27)+$I$9*AJ27^3+$I$10*($G27/$H27)^3+$I$11*AJ27*($G27/$H27)^2+$I$12*AJ27^2*($G27/$H27)</f>
        <v>5.5747757160485607</v>
      </c>
      <c r="AL27" s="15">
        <f>$G$27/(AK27*1000)</f>
        <v>5.2997034107865023E-3</v>
      </c>
      <c r="AM27" s="15">
        <f>AK27</f>
        <v>5.5747757160485607</v>
      </c>
      <c r="AN27" s="15">
        <f>($I27/AM27)/1000</f>
        <v>4.0685921836845452E-3</v>
      </c>
      <c r="AO27" s="24">
        <f>AL27-AN27+$J27</f>
        <v>3.1781111227101956E-2</v>
      </c>
      <c r="AP27" s="16">
        <f>AO27/$D27</f>
        <v>3.1781111227101956E-2</v>
      </c>
      <c r="AQ27" s="14">
        <f>AL27*$Q$11</f>
        <v>14.506577901446821</v>
      </c>
      <c r="AR27" s="14">
        <f>AN27*$M27*$S$7*$E$11</f>
        <v>8.7554825247081691</v>
      </c>
      <c r="AS27" s="14">
        <f>AQ27-AR27+$K27</f>
        <v>149.64159537673865</v>
      </c>
      <c r="AT27" s="44">
        <f>AS27/$D27</f>
        <v>149.64159537673865</v>
      </c>
      <c r="AU27" s="43">
        <f>88+10</f>
        <v>98</v>
      </c>
      <c r="AV27" s="15">
        <f>$I$3+$I$4*AU27+$I$5*($G27/$H27)+$I$6*AU27^2+$I$7*($G27/$H27)^2+$I$8*AU27*($G27/$H27)+$I$9*AU27^3+$I$10*($G27/$H27)^3+$I$11*AU27*($G27/$H27)^2+$I$12*AU27^2*($G27/$H27)</f>
        <v>5.665598965208031</v>
      </c>
      <c r="AW27" s="178">
        <f>$G$27/(AV27*1000)</f>
        <v>5.2147457061722151E-3</v>
      </c>
      <c r="AX27" s="15">
        <f>AV27</f>
        <v>5.665598965208031</v>
      </c>
      <c r="AY27" s="15">
        <f>($I27/AX27)/1000</f>
        <v>4.0033699955458754E-3</v>
      </c>
      <c r="AZ27" s="24">
        <f>AW27-AY27+$J27</f>
        <v>3.1761375710626344E-2</v>
      </c>
      <c r="BA27" s="16">
        <f>AZ27/$D27</f>
        <v>3.1761375710626344E-2</v>
      </c>
      <c r="BB27" s="14">
        <f>AW27*$S$11</f>
        <v>14.617613194868003</v>
      </c>
      <c r="BC27" s="14">
        <f>AY27*$M27*$T$7*$E$11</f>
        <v>8.8218533495091567</v>
      </c>
      <c r="BD27" s="14">
        <f>BB27-BC27+$K27</f>
        <v>149.68625984535885</v>
      </c>
      <c r="BE27" s="44">
        <f>BD27/$D27</f>
        <v>149.68625984535885</v>
      </c>
      <c r="BF27" s="43">
        <f>83+10</f>
        <v>93</v>
      </c>
      <c r="BG27" s="15">
        <f>$I$3+$I$4*BF27+$I$5*($G27/$H27)+$I$6*BF27^2+$I$7*($G27/$H27)^2+$I$8*BF27*($G27/$H27)+$I$9*BF27^3+$I$10*($G27/$H27)^3+$I$11*BF27*($G27/$H27)^2+$I$12*BF27^2*($G27/$H27)</f>
        <v>6.1439585132971386</v>
      </c>
      <c r="BH27" s="15">
        <f>$G$27/(BG27*1000)</f>
        <v>4.8087332967450755E-3</v>
      </c>
      <c r="BI27" s="15">
        <f>BG27</f>
        <v>6.1439585132971386</v>
      </c>
      <c r="BJ27" s="15">
        <f>($I27/BI27)/1000</f>
        <v>3.6916735122837978E-3</v>
      </c>
      <c r="BK27" s="24">
        <f>BH27-BJ27+$J27</f>
        <v>3.1667059784461278E-2</v>
      </c>
      <c r="BL27" s="16">
        <f>BK27/$D27</f>
        <v>3.1667059784461278E-2</v>
      </c>
      <c r="BM27" s="14">
        <f>BH27*$T$11</f>
        <v>13.802959069414452</v>
      </c>
      <c r="BN27" s="14">
        <f>BJ27*$M27*$U$7*$E$11</f>
        <v>7.9670124005985228</v>
      </c>
      <c r="BO27" s="14">
        <f>BM27-BN27+$K27</f>
        <v>149.72644666881592</v>
      </c>
      <c r="BP27" s="44">
        <f>BO27/$D27</f>
        <v>149.72644666881592</v>
      </c>
      <c r="BQ27" s="43">
        <f>86+10</f>
        <v>96</v>
      </c>
      <c r="BR27" s="15">
        <f>$I$3+$I$4*BQ27+$I$5*($G27/$H27)+$I$6*BQ27^2+$I$7*($G27/$H27)^2+$I$8*BQ27*($G27/$H27)+$I$9*BQ27^3+$I$10*($G27/$H27)^3+$I$11*BQ27*($G27/$H27)^2+$I$12*BQ27^2*($G27/$H27)</f>
        <v>5.851957774803612</v>
      </c>
      <c r="BS27" s="15">
        <f>$G$27/(BR27*1000)</f>
        <v>5.0486792648984594E-3</v>
      </c>
      <c r="BT27" s="15">
        <f>BR27</f>
        <v>5.851957774803612</v>
      </c>
      <c r="BU27" s="15">
        <f>($I27/BT27)/1000</f>
        <v>3.8758804791394386E-3</v>
      </c>
      <c r="BV27" s="24">
        <f>BS27-BU27+$J27</f>
        <v>3.1722798785759024E-2</v>
      </c>
      <c r="BW27" s="16">
        <f>BV27/$D27</f>
        <v>3.1722798785759024E-2</v>
      </c>
      <c r="BX27" s="14">
        <f>BS27*$U$11</f>
        <v>14.192450703352375</v>
      </c>
      <c r="BY27" s="14">
        <f>BU27*$M27*$V$7*$E$11</f>
        <v>8.6537113392472698</v>
      </c>
      <c r="BZ27" s="14">
        <f>BX27-BY27+$K27</f>
        <v>149.42923936410511</v>
      </c>
      <c r="CA27" s="44">
        <f>BZ27/$D27</f>
        <v>149.42923936410511</v>
      </c>
      <c r="CB27" s="43">
        <f>83+10</f>
        <v>93</v>
      </c>
      <c r="CC27" s="15">
        <f>$I$3+$I$4*CB27+$I$5*($G27/$H27)+$I$6*CB27^2+$I$7*($G27/$H27)^2+$I$8*CB27*($G27/$H27)+$I$9*CB27^3+$I$10*($G27/$H27)^3+$I$11*CB27*($G27/$H27)^2+$I$12*CB27^2*($G27/$H27)</f>
        <v>6.1439585132971386</v>
      </c>
      <c r="CD27" s="15">
        <f>$G$27/(CC27*1000)</f>
        <v>4.8087332967450755E-3</v>
      </c>
      <c r="CE27" s="15">
        <f>CC27</f>
        <v>6.1439585132971386</v>
      </c>
      <c r="CF27" s="15">
        <f>($I27/CE27)/1000</f>
        <v>3.6916735122837978E-3</v>
      </c>
      <c r="CG27" s="24">
        <f>CD27-CF27+$J27</f>
        <v>3.1667059784461278E-2</v>
      </c>
      <c r="CH27" s="16">
        <f>CG27/$D27</f>
        <v>3.1667059784461278E-2</v>
      </c>
      <c r="CI27" s="14">
        <f>CD27*$V$11</f>
        <v>13.985246458993327</v>
      </c>
      <c r="CJ27" s="14">
        <f>CF27*$M27*$W$7*$E$11</f>
        <v>8.3287910456707976</v>
      </c>
      <c r="CK27" s="14">
        <f>CI27-CJ27+$K27</f>
        <v>149.54695541332254</v>
      </c>
      <c r="CL27" s="44">
        <f>CK27/$D27</f>
        <v>149.54695541332254</v>
      </c>
      <c r="CM27" s="43">
        <f>89+10</f>
        <v>99</v>
      </c>
      <c r="CN27" s="15">
        <f>$I$3+$I$4*CM27+$I$5*($G27/$H27)+$I$6*CM27^2+$I$7*($G27/$H27)^2+$I$8*CM27*($G27/$H27)+$I$9*CM27^3+$I$10*($G27/$H27)^3+$I$11*CM27*($G27/$H27)^2+$I$12*CM27^2*($G27/$H27)</f>
        <v>5.5747757160485607</v>
      </c>
      <c r="CO27" s="15">
        <f>$G$27/(CN27*1000)</f>
        <v>5.2997034107865023E-3</v>
      </c>
      <c r="CP27" s="15">
        <f>CN27</f>
        <v>5.5747757160485607</v>
      </c>
      <c r="CQ27" s="15">
        <f>($I27/CP27)/1000</f>
        <v>4.0685921836845452E-3</v>
      </c>
      <c r="CR27" s="24">
        <f>CO27-CQ27+$J27</f>
        <v>3.1781111227101956E-2</v>
      </c>
      <c r="CS27" s="16">
        <f>CR27/$D27</f>
        <v>3.1781111227101956E-2</v>
      </c>
      <c r="CT27" s="14">
        <f>CO27*$W$11</f>
        <v>15.574626913434683</v>
      </c>
      <c r="CU27" s="14">
        <f>CQ27*$M27*$X$7*$E$11</f>
        <v>9.1389196813545723</v>
      </c>
      <c r="CV27" s="14">
        <f>CT27-CU27+$K27</f>
        <v>150.32620723208012</v>
      </c>
      <c r="CW27" s="44">
        <f>CV27/$D27</f>
        <v>150.32620723208012</v>
      </c>
      <c r="CX27" s="43">
        <f>96+10</f>
        <v>106</v>
      </c>
      <c r="CY27" s="15">
        <f>$I$3+$I$4*CX27+$I$5*($G27/$H27)+$I$6*CX27^2+$I$7*($G27/$H27)^2+$I$8*CX27*($G27/$H27)+$I$9*CX27^3+$I$10*($G27/$H27)^3+$I$11*CX27*($G27/$H27)^2+$I$12*CX27^2*($G27/$H27)</f>
        <v>4.9787525693054091</v>
      </c>
      <c r="CZ27" s="15">
        <f>$G$27/(CY27*1000)</f>
        <v>5.9341486578101087E-3</v>
      </c>
      <c r="DA27" s="15">
        <f>CY27</f>
        <v>4.9787525693054091</v>
      </c>
      <c r="DB27" s="15">
        <f>($I27/DA27)/1000</f>
        <v>4.5556569820206809E-3</v>
      </c>
      <c r="DC27" s="24">
        <f>CZ27-DB27+$J27</f>
        <v>3.1928491675789428E-2</v>
      </c>
      <c r="DD27" s="16">
        <f>DC27/$D27</f>
        <v>3.1928491675789428E-2</v>
      </c>
      <c r="DE27" s="14">
        <f>CZ27*$X$11</f>
        <v>17.362670642909755</v>
      </c>
      <c r="DF27" s="14">
        <f>DB27*$M27*$Y$7*$E$11</f>
        <v>10.130079293050789</v>
      </c>
      <c r="DG27" s="14">
        <f>DE27-DF27+$K27</f>
        <v>151.12309134985898</v>
      </c>
      <c r="DH27" s="44">
        <f>DG27/$D27</f>
        <v>151.12309134985898</v>
      </c>
      <c r="DI27" s="43">
        <f>100+10</f>
        <v>110</v>
      </c>
      <c r="DJ27" s="15">
        <f>$I$3+$I$4*DI27+$I$5*($G27/$H27)+$I$6*DI27^2+$I$7*($G27/$H27)^2+$I$8*DI27*($G27/$H27)+$I$9*DI27^3+$I$10*($G27/$H27)^3+$I$11*DI27*($G27/$H27)^2+$I$12*DI27^2*($G27/$H27)</f>
        <v>4.6653923073913646</v>
      </c>
      <c r="DK27" s="15">
        <f>$G$27/(DJ27*1000)</f>
        <v>6.3327274385703482E-3</v>
      </c>
      <c r="DL27" s="15">
        <f>DJ27</f>
        <v>4.6653923073913646</v>
      </c>
      <c r="DM27" s="15">
        <f>($I27/DL27)/1000</f>
        <v>4.8616466547036974E-3</v>
      </c>
      <c r="DN27" s="24">
        <f>DK27-DM27+$J27</f>
        <v>3.2021080783866653E-2</v>
      </c>
      <c r="DO27" s="16">
        <f>DN27/$D27</f>
        <v>3.2021080783866653E-2</v>
      </c>
      <c r="DP27" s="14">
        <f>DK27*$Y$11</f>
        <v>18.342563446693973</v>
      </c>
      <c r="DQ27" s="14">
        <f>DM27*$M27*$Z$7*$E$11</f>
        <v>10.694576759327949</v>
      </c>
      <c r="DR27" s="14">
        <f>DP27-DQ27+$K27</f>
        <v>151.53848668736603</v>
      </c>
      <c r="DS27" s="44">
        <f>DR27/$D27</f>
        <v>151.53848668736603</v>
      </c>
      <c r="DT27" s="43">
        <f>104+10</f>
        <v>114</v>
      </c>
      <c r="DU27" s="15">
        <f>$I$3+$I$4*DT27+$I$5*($G27/$H27)+$I$6*DT27^2+$I$7*($G27/$H27)^2+$I$8*DT27*($G27/$H27)+$I$9*DT27^3+$I$10*($G27/$H27)^3+$I$11*DT27*($G27/$H27)^2+$I$12*DT27^2*($G27/$H27)</f>
        <v>4.3681956261112758</v>
      </c>
      <c r="DV27" s="15">
        <f>$G$27/(DU27*1000)</f>
        <v>6.7635839613286826E-3</v>
      </c>
      <c r="DW27" s="15">
        <f>DU27</f>
        <v>4.3681956261112758</v>
      </c>
      <c r="DX27" s="15">
        <f>($I27/DW27)/1000</f>
        <v>5.1924160100635108E-3</v>
      </c>
      <c r="DY27" s="24">
        <f>DV27-DX27+$J27</f>
        <v>3.212116795126517E-2</v>
      </c>
      <c r="DZ27" s="16">
        <f>DY27/$D27</f>
        <v>3.212116795126517E-2</v>
      </c>
      <c r="EA27" s="14">
        <f>DV27*$Z$11</f>
        <v>19.380478779995396</v>
      </c>
      <c r="EB27" s="14">
        <f>DX27*$M27*$AA$7*$E$11</f>
        <v>11.012966036429349</v>
      </c>
      <c r="EC27" s="14">
        <f>EA27-EB27+$K27</f>
        <v>152.25801274356604</v>
      </c>
      <c r="ED27" s="44">
        <f>EC27/$D27</f>
        <v>152.25801274356604</v>
      </c>
      <c r="EE27" s="43">
        <f>100+10</f>
        <v>110</v>
      </c>
      <c r="EF27" s="15">
        <f>$I$3+$I$4*EE27+$I$5*($G27/$H27)+$I$6*EE27^2+$I$7*($G27/$H27)^2+$I$8*EE27*($G27/$H27)+$I$9*EE27^3+$I$10*($G27/$H27)^3+$I$11*EE27*($G27/$H27)^2+$I$12*EE27^2*($G27/$H27)</f>
        <v>4.6653923073913646</v>
      </c>
      <c r="EG27" s="15">
        <f>$G$27/(EF27*1000)</f>
        <v>6.3327274385703482E-3</v>
      </c>
      <c r="EH27" s="15">
        <f>EF27</f>
        <v>4.6653923073913646</v>
      </c>
      <c r="EI27" s="15">
        <f>($I27/EH27)/1000</f>
        <v>4.8616466547036974E-3</v>
      </c>
      <c r="EJ27" s="24">
        <f>EG27-EI27+$J27</f>
        <v>3.2021080783866653E-2</v>
      </c>
      <c r="EK27" s="16">
        <f>EJ27/$D27</f>
        <v>3.2021080783866653E-2</v>
      </c>
      <c r="EL27" s="14">
        <f>EG27*$AA$11</f>
        <v>17.495768402480252</v>
      </c>
      <c r="EM27" s="14">
        <f>EI27*$M27*$AB$7*$E$11</f>
        <v>10.473440625717155</v>
      </c>
      <c r="EN27" s="14">
        <f>EL27-EM27+$K27</f>
        <v>150.91282777676309</v>
      </c>
      <c r="EO27" s="44">
        <f>EN27/$D27</f>
        <v>150.91282777676309</v>
      </c>
      <c r="EP27" s="43">
        <f>101+10</f>
        <v>111</v>
      </c>
      <c r="EQ27" s="15">
        <f>$I$3+$I$4*EP27+$I$5*($G27/$H27)+$I$6*EP27^2+$I$7*($G27/$H27)^2+$I$8*EP27*($G27/$H27)+$I$9*EP27^3+$I$10*($G27/$H27)^3+$I$11*EP27*($G27/$H27)^2+$I$12*EP27^2*($G27/$H27)</f>
        <v>4.5896914257050003</v>
      </c>
      <c r="ER27" s="15">
        <f>$G$27/(EQ27*1000)</f>
        <v>6.4371773908905245E-3</v>
      </c>
      <c r="ES27" s="15">
        <f>EQ27</f>
        <v>4.5896914257050003</v>
      </c>
      <c r="ET27" s="15">
        <f>($I27/ES27)/1000</f>
        <v>4.941833077727136E-3</v>
      </c>
      <c r="EU27" s="24">
        <f>ER27-ET27+$J27</f>
        <v>3.2045344313163387E-2</v>
      </c>
      <c r="EV27" s="16">
        <f>EU27/$D27</f>
        <v>3.2045344313163387E-2</v>
      </c>
      <c r="EW27" s="14">
        <f>ER27*$AB$11</f>
        <v>18.06378961579474</v>
      </c>
      <c r="EX27" s="14">
        <f>ET27*$M27*$AC$7*$E$11</f>
        <v>10.891217043989139</v>
      </c>
      <c r="EY27" s="14">
        <f>EW27-EX27+$K27</f>
        <v>151.06307257180561</v>
      </c>
      <c r="EZ27" s="44">
        <f>EY27/$D27</f>
        <v>151.06307257180561</v>
      </c>
      <c r="FA27" s="43">
        <f>103+10</f>
        <v>113</v>
      </c>
      <c r="FB27" s="15">
        <f>$I$3+$I$4*FA27+$I$5*($G27/$H27)+$I$6*FA27^2+$I$7*($G27/$H27)^2+$I$8*FA27*($G27/$H27)+$I$9*FA27^3+$I$10*($G27/$H27)^3+$I$11*FA27*($G27/$H27)^2+$I$12*FA27^2*($G27/$H27)</f>
        <v>4.4411385347921932</v>
      </c>
      <c r="FC27" s="15">
        <f>$G$27/(FB27*1000)</f>
        <v>6.6524963464340029E-3</v>
      </c>
      <c r="FD27" s="15">
        <f>FB27</f>
        <v>4.4411385347921932</v>
      </c>
      <c r="FE27" s="15">
        <f>($I27/FD27)/1000</f>
        <v>5.1071338411133099E-3</v>
      </c>
      <c r="FF27" s="24">
        <f>FC27-FE27+$J27</f>
        <v>3.209536250532069E-2</v>
      </c>
      <c r="FG27" s="16">
        <f>FF27/$D27</f>
        <v>3.209536250532069E-2</v>
      </c>
      <c r="FH27" s="14">
        <f>FC27*$AC$11</f>
        <v>19.097670275993636</v>
      </c>
      <c r="FI27" s="14">
        <f>FE27*$M27*$AD$7*$E$11</f>
        <v>11.132375479608992</v>
      </c>
      <c r="FJ27" s="14">
        <f>FH27-FI27+$K27</f>
        <v>151.85579479638466</v>
      </c>
      <c r="FK27" s="44">
        <f>FJ27/$D27</f>
        <v>151.85579479638466</v>
      </c>
      <c r="FL27" s="43">
        <f>113+10</f>
        <v>123</v>
      </c>
      <c r="FM27" s="15">
        <f>$I$3+$I$4*FL27+$I$5*($G27/$H27)+$I$6*FL27^2+$I$7*($G27/$H27)^2+$I$8*FL27*($G27/$H27)+$I$9*FL27^3+$I$10*($G27/$H27)^3+$I$11*FL27*($G27/$H27)^2+$I$12*FL27^2*($G27/$H27)</f>
        <v>3.7435346003448799</v>
      </c>
      <c r="FN27" s="15">
        <f>$G$27/(FM27*1000)</f>
        <v>7.8921823973499457E-3</v>
      </c>
      <c r="FO27" s="15">
        <f>FM27</f>
        <v>3.7435346003448799</v>
      </c>
      <c r="FP27" s="15">
        <f>($I27/FO27)/1000</f>
        <v>6.0588431323754868E-3</v>
      </c>
      <c r="FQ27" s="24">
        <f>FN27-FP27+$J27</f>
        <v>3.2383339264974456E-2</v>
      </c>
      <c r="FR27" s="16">
        <f>FQ27/$D27</f>
        <v>3.2383339264974456E-2</v>
      </c>
      <c r="FS27" s="14">
        <f>FN27*$AD$11</f>
        <v>22.408620703780997</v>
      </c>
      <c r="FT27" s="14">
        <f>FP27*$M27*$AE$7*$E$11</f>
        <v>14.573598650645186</v>
      </c>
      <c r="FU27" s="14">
        <f>FS27-FT27+$K27</f>
        <v>151.72552205313582</v>
      </c>
      <c r="FV27" s="44">
        <f>FU27/$D27</f>
        <v>151.72552205313582</v>
      </c>
      <c r="FW27" s="43">
        <f>85+10</f>
        <v>95</v>
      </c>
      <c r="FX27" s="15">
        <f>$I$3+$I$4*FW27+$I$5*($G27/$H27)+$I$6*FW27^2+$I$7*($G27/$H27)^2+$I$8*FW27*($G27/$H27)+$I$9*FW27^3+$I$10*($G27/$H27)^3+$I$11*FW27*($G27/$H27)^2+$I$12*FW27^2*($G27/$H27)</f>
        <v>5.9475842346941983</v>
      </c>
      <c r="FY27" s="15">
        <f>$G$27/(FX27*1000)</f>
        <v>4.9675055805630634E-3</v>
      </c>
      <c r="FZ27" s="15">
        <f>FX27</f>
        <v>5.9475842346941983</v>
      </c>
      <c r="GA27" s="15">
        <f>($I27/FZ27)/1000</f>
        <v>3.8135632904198425E-3</v>
      </c>
      <c r="GB27" s="24">
        <f>FY27-GA27+$J27</f>
        <v>3.1703942290143221E-2</v>
      </c>
      <c r="GC27" s="16">
        <f>GB27/$D27</f>
        <v>3.1703942290143221E-2</v>
      </c>
      <c r="GD27" s="14">
        <f>FY27*$AE$11</f>
        <v>15.564058897918091</v>
      </c>
      <c r="GE27" s="14">
        <f>GA27*$M27*$AF$7*$E$11</f>
        <v>7.6663882258114535</v>
      </c>
      <c r="GF27" s="14">
        <f>GD27-GE27+$K27</f>
        <v>151.78817067210665</v>
      </c>
      <c r="GG27" s="44">
        <f>GF27/$D27</f>
        <v>151.78817067210665</v>
      </c>
    </row>
    <row r="28" spans="2:202" ht="14.4" hidden="1" x14ac:dyDescent="0.3">
      <c r="B28" s="30" t="s">
        <v>114</v>
      </c>
      <c r="C28" s="3" t="s">
        <v>156</v>
      </c>
      <c r="D28" s="7"/>
      <c r="E28" s="7"/>
      <c r="F28" s="3"/>
      <c r="G28" s="3"/>
      <c r="H28" s="8"/>
      <c r="I28" s="12"/>
      <c r="J28" s="111"/>
      <c r="K28" s="108"/>
      <c r="L28" s="98"/>
      <c r="M28" s="97"/>
      <c r="N28" s="45"/>
      <c r="O28" s="22"/>
      <c r="P28" s="15"/>
      <c r="Q28" s="22"/>
      <c r="R28" s="15"/>
      <c r="S28" s="24"/>
      <c r="T28" s="16"/>
      <c r="U28" s="14"/>
      <c r="V28" s="14"/>
      <c r="W28" s="14"/>
      <c r="X28" s="44"/>
      <c r="Y28" s="45"/>
      <c r="Z28" s="22"/>
      <c r="AA28" s="15"/>
      <c r="AB28" s="22"/>
      <c r="AC28" s="15"/>
      <c r="AD28" s="24"/>
      <c r="AE28" s="16"/>
      <c r="AF28" s="14"/>
      <c r="AG28" s="14"/>
      <c r="AH28" s="14"/>
      <c r="AI28" s="44"/>
      <c r="AJ28" s="45"/>
      <c r="AK28" s="22"/>
      <c r="AL28" s="15"/>
      <c r="AM28" s="22"/>
      <c r="AN28" s="15"/>
      <c r="AO28" s="24"/>
      <c r="AP28" s="16"/>
      <c r="AQ28" s="14"/>
      <c r="AR28" s="14"/>
      <c r="AS28" s="14"/>
      <c r="AT28" s="44"/>
      <c r="AU28" s="45"/>
      <c r="AV28" s="22"/>
      <c r="AW28" s="178"/>
      <c r="AX28" s="22"/>
      <c r="AY28" s="15"/>
      <c r="AZ28" s="24"/>
      <c r="BA28" s="16"/>
      <c r="BB28" s="14"/>
      <c r="BC28" s="14"/>
      <c r="BD28" s="14"/>
      <c r="BE28" s="44"/>
      <c r="BF28" s="45"/>
      <c r="BG28" s="22"/>
      <c r="BH28" s="15"/>
      <c r="BI28" s="22"/>
      <c r="BJ28" s="15"/>
      <c r="BK28" s="24"/>
      <c r="BL28" s="16"/>
      <c r="BM28" s="14"/>
      <c r="BN28" s="14"/>
      <c r="BO28" s="14"/>
      <c r="BP28" s="44"/>
      <c r="BQ28" s="45"/>
      <c r="BR28" s="22"/>
      <c r="BS28" s="15"/>
      <c r="BT28" s="22"/>
      <c r="BU28" s="15"/>
      <c r="BV28" s="24"/>
      <c r="BW28" s="16"/>
      <c r="BX28" s="14"/>
      <c r="BY28" s="14"/>
      <c r="BZ28" s="14"/>
      <c r="CA28" s="44"/>
      <c r="CB28" s="45"/>
      <c r="CC28" s="22"/>
      <c r="CD28" s="15"/>
      <c r="CE28" s="22"/>
      <c r="CF28" s="15"/>
      <c r="CG28" s="24"/>
      <c r="CH28" s="16"/>
      <c r="CI28" s="14"/>
      <c r="CJ28" s="14"/>
      <c r="CK28" s="14"/>
      <c r="CL28" s="44"/>
      <c r="CM28" s="45"/>
      <c r="CN28" s="22"/>
      <c r="CO28" s="15"/>
      <c r="CP28" s="22"/>
      <c r="CQ28" s="15"/>
      <c r="CR28" s="24"/>
      <c r="CS28" s="16"/>
      <c r="CT28" s="14"/>
      <c r="CU28" s="14"/>
      <c r="CV28" s="14"/>
      <c r="CW28" s="44"/>
      <c r="CX28" s="45"/>
      <c r="CY28" s="22"/>
      <c r="CZ28" s="15"/>
      <c r="DA28" s="22"/>
      <c r="DB28" s="15"/>
      <c r="DC28" s="24"/>
      <c r="DD28" s="16"/>
      <c r="DE28" s="14"/>
      <c r="DF28" s="14"/>
      <c r="DG28" s="14"/>
      <c r="DH28" s="44"/>
      <c r="DI28" s="45"/>
      <c r="DJ28" s="22"/>
      <c r="DK28" s="15"/>
      <c r="DL28" s="22"/>
      <c r="DM28" s="15"/>
      <c r="DN28" s="24"/>
      <c r="DO28" s="16"/>
      <c r="DP28" s="14"/>
      <c r="DQ28" s="14"/>
      <c r="DR28" s="14"/>
      <c r="DS28" s="44"/>
      <c r="DT28" s="45"/>
      <c r="DU28" s="22"/>
      <c r="DV28" s="15"/>
      <c r="DW28" s="22"/>
      <c r="DX28" s="15"/>
      <c r="DY28" s="24"/>
      <c r="DZ28" s="16"/>
      <c r="EA28" s="14"/>
      <c r="EB28" s="14"/>
      <c r="EC28" s="14"/>
      <c r="ED28" s="44"/>
      <c r="EE28" s="45"/>
      <c r="EF28" s="22"/>
      <c r="EG28" s="15"/>
      <c r="EH28" s="22"/>
      <c r="EI28" s="15"/>
      <c r="EJ28" s="24"/>
      <c r="EK28" s="16"/>
      <c r="EL28" s="14"/>
      <c r="EM28" s="14"/>
      <c r="EN28" s="14"/>
      <c r="EO28" s="44"/>
      <c r="EP28" s="45"/>
      <c r="EQ28" s="22"/>
      <c r="ER28" s="15"/>
      <c r="ES28" s="22"/>
      <c r="ET28" s="15"/>
      <c r="EU28" s="24"/>
      <c r="EV28" s="16"/>
      <c r="EW28" s="14"/>
      <c r="EX28" s="14"/>
      <c r="EY28" s="14"/>
      <c r="EZ28" s="44"/>
      <c r="FA28" s="45"/>
      <c r="FB28" s="22"/>
      <c r="FC28" s="15"/>
      <c r="FD28" s="22"/>
      <c r="FE28" s="15"/>
      <c r="FF28" s="24"/>
      <c r="FG28" s="16"/>
      <c r="FH28" s="14"/>
      <c r="FI28" s="14"/>
      <c r="FJ28" s="14"/>
      <c r="FK28" s="44"/>
      <c r="FL28" s="45"/>
      <c r="FM28" s="22"/>
      <c r="FN28" s="15"/>
      <c r="FO28" s="22"/>
      <c r="FP28" s="15"/>
      <c r="FQ28" s="24"/>
      <c r="FR28" s="16"/>
      <c r="FS28" s="14"/>
      <c r="FT28" s="14"/>
      <c r="FU28" s="14"/>
      <c r="FV28" s="44"/>
      <c r="FW28" s="45"/>
      <c r="FX28" s="22"/>
      <c r="FY28" s="15"/>
      <c r="FZ28" s="22"/>
      <c r="GA28" s="15"/>
      <c r="GB28" s="24"/>
      <c r="GC28" s="16"/>
      <c r="GD28" s="14"/>
      <c r="GE28" s="14"/>
      <c r="GF28" s="14"/>
      <c r="GG28" s="44"/>
      <c r="GH28" s="1" t="s">
        <v>0</v>
      </c>
      <c r="GI28" s="61" t="e">
        <f>#REF!</f>
        <v>#REF!</v>
      </c>
      <c r="GJ28" s="62" t="e">
        <f>#REF!</f>
        <v>#REF!</v>
      </c>
      <c r="GK28" s="61" t="e">
        <f>#REF!</f>
        <v>#REF!</v>
      </c>
      <c r="GL28" s="62" t="e">
        <f>#REF!</f>
        <v>#REF!</v>
      </c>
      <c r="GM28" s="61" t="e">
        <f>#REF!</f>
        <v>#REF!</v>
      </c>
      <c r="GN28" s="62" t="e">
        <f>#REF!</f>
        <v>#REF!</v>
      </c>
      <c r="GO28" s="61" t="e">
        <f>#REF!</f>
        <v>#REF!</v>
      </c>
      <c r="GP28" s="62" t="e">
        <f>#REF!</f>
        <v>#REF!</v>
      </c>
      <c r="GQ28" s="61" t="e">
        <f>#REF!</f>
        <v>#REF!</v>
      </c>
      <c r="GR28" s="62" t="e">
        <f>#REF!</f>
        <v>#REF!</v>
      </c>
      <c r="GS28" s="61" t="e">
        <f>#REF!</f>
        <v>#REF!</v>
      </c>
      <c r="GT28" s="62" t="e">
        <f>#REF!</f>
        <v>#REF!</v>
      </c>
    </row>
    <row r="29" spans="2:202" ht="13.8" x14ac:dyDescent="0.25">
      <c r="B29" s="167" t="s">
        <v>150</v>
      </c>
      <c r="C29" s="3" t="s">
        <v>156</v>
      </c>
      <c r="D29" s="3">
        <v>1</v>
      </c>
      <c r="E29" s="3">
        <v>38</v>
      </c>
      <c r="F29" s="3">
        <f>E29-10</f>
        <v>28</v>
      </c>
      <c r="G29" s="11">
        <f>'Cooling Load'!F33</f>
        <v>29.675498504452051</v>
      </c>
      <c r="H29" s="14">
        <f>G29*1.15</f>
        <v>34.126823280119858</v>
      </c>
      <c r="I29" s="14">
        <f>'Cooling Load'!H33</f>
        <v>22.681488904109589</v>
      </c>
      <c r="J29" s="110">
        <f>'Cooling Load'!H21</f>
        <v>7.5500000000000012E-3</v>
      </c>
      <c r="K29" s="109">
        <f>'Cooling Load'!H27</f>
        <v>35.560500000000005</v>
      </c>
      <c r="L29" s="98">
        <f>I29/H29</f>
        <v>0.66462350503401235</v>
      </c>
      <c r="M29" s="97">
        <f>(1-(1-L29))*(1-$D$8)</f>
        <v>0.63139232978231175</v>
      </c>
      <c r="N29" s="43">
        <f>69+15</f>
        <v>84</v>
      </c>
      <c r="O29" s="15">
        <f>$H$3+$H$4*N29+$H$5*($G29/$H29)+$H$6*N29^2+$H$7*($G29/$H29)^2+$H$8*N29*($G29/$H29)+$H$9*N29^3+$H$10*($G29/$H29)^3+$H$11*N29*($G29/$H29)^2+$H$12*N29^2*($G29/$H29)</f>
        <v>9.517424087669232</v>
      </c>
      <c r="P29" s="15">
        <f>$G$29/(O29*1000)</f>
        <v>3.1180178828953951E-3</v>
      </c>
      <c r="Q29" s="15">
        <f>O29</f>
        <v>9.517424087669232</v>
      </c>
      <c r="R29" s="15">
        <f>($I29/Q29)/1000</f>
        <v>2.3831541702019677E-3</v>
      </c>
      <c r="S29" s="24">
        <f>P29-R29+$J29</f>
        <v>8.2848637126934285E-3</v>
      </c>
      <c r="T29" s="16">
        <f>S29/$D29</f>
        <v>8.2848637126934285E-3</v>
      </c>
      <c r="U29" s="14">
        <f>P29*$Q$10</f>
        <v>9.0089278000502357</v>
      </c>
      <c r="V29" s="14">
        <f>R29*$M29*$Q$7*$D$11</f>
        <v>5.2628401588961227</v>
      </c>
      <c r="W29" s="14">
        <f>U29-V29+$K29</f>
        <v>39.306587641154117</v>
      </c>
      <c r="X29" s="44">
        <f>W29/$D29</f>
        <v>39.306587641154117</v>
      </c>
      <c r="Y29" s="43">
        <f>96+15</f>
        <v>111</v>
      </c>
      <c r="Z29" s="15">
        <f>$H$3+$H$4*Y29+$H$5*($G29/$H29)+$H$6*Y29^2+$H$7*($G29/$H29)^2+$H$8*Y29*($G29/$H29)+$H$9*Y29^3+$H$10*($G29/$H29)^3+$H$11*Y29*($G29/$H29)^2+$H$12*Y29^2*($G29/$H29)</f>
        <v>6.4425744504920166</v>
      </c>
      <c r="AA29" s="15">
        <f>$G$29/(Z29*1000)</f>
        <v>4.6061553083310888E-3</v>
      </c>
      <c r="AB29" s="15">
        <f>Z29</f>
        <v>6.4425744504920166</v>
      </c>
      <c r="AC29" s="15">
        <f>($I29/AB29)/1000</f>
        <v>3.5205629486171346E-3</v>
      </c>
      <c r="AD29" s="24">
        <f>AA29-AC29+$J29</f>
        <v>8.6355923597139558E-3</v>
      </c>
      <c r="AE29" s="16">
        <f>AD29/$D29</f>
        <v>8.6355923597139558E-3</v>
      </c>
      <c r="AF29" s="14">
        <f>AA29*$R$10</f>
        <v>13.406005061792154</v>
      </c>
      <c r="AG29" s="14">
        <f>AC29*$M29*$R$7*$D$11</f>
        <v>7.8315270557691727</v>
      </c>
      <c r="AH29" s="14">
        <f>AF29-AG29+$K29</f>
        <v>41.134978006022983</v>
      </c>
      <c r="AI29" s="44">
        <f>AH29/$D29</f>
        <v>41.134978006022983</v>
      </c>
      <c r="AJ29" s="43">
        <f>89+15</f>
        <v>104</v>
      </c>
      <c r="AK29" s="15">
        <f>$H$3+$H$4*AJ29+$H$5*($G29/$H29)+$H$6*AJ29^2+$H$7*($G29/$H29)^2+$H$8*AJ29*($G29/$H29)+$H$9*AJ29^3+$H$10*($G29/$H29)^3+$H$11*AJ29*($G29/$H29)^2+$H$12*AJ29^2*($G29/$H29)</f>
        <v>7.1731404854674166</v>
      </c>
      <c r="AL29" s="15">
        <f>$G$29/(AK29*1000)</f>
        <v>4.1370301563971581E-3</v>
      </c>
      <c r="AM29" s="15">
        <f>AK29</f>
        <v>7.1731404854674166</v>
      </c>
      <c r="AN29" s="15">
        <f>($I29/AM29)/1000</f>
        <v>3.1620026054225005E-3</v>
      </c>
      <c r="AO29" s="24">
        <f>AL29-AN29+$J29</f>
        <v>8.5250275509746593E-3</v>
      </c>
      <c r="AP29" s="16">
        <f>AO29/$D29</f>
        <v>8.5250275509746593E-3</v>
      </c>
      <c r="AQ29" s="14">
        <f>AL29*$Q$10</f>
        <v>11.953172619716785</v>
      </c>
      <c r="AR29" s="14">
        <f>AN29*$M29*$S$7*$D$11</f>
        <v>7.1508914658941363</v>
      </c>
      <c r="AS29" s="14">
        <f>AQ29-AR29+$K29</f>
        <v>40.362781153822652</v>
      </c>
      <c r="AT29" s="44">
        <f>AS29/$D29</f>
        <v>40.362781153822652</v>
      </c>
      <c r="AU29" s="43">
        <f>88+15</f>
        <v>103</v>
      </c>
      <c r="AV29" s="15">
        <f>$H$3+$H$4*AU29+$H$5*($G29/$H29)+$H$6*AU29^2+$H$7*($G29/$H29)^2+$H$8*AU29*($G29/$H29)+$H$9*AU29^3+$H$10*($G29/$H29)^3+$H$11*AU29*($G29/$H29)^2+$H$12*AU29^2*($G29/$H29)</f>
        <v>7.281090917823354</v>
      </c>
      <c r="AW29" s="178">
        <f>$G$29/(AV29*1000)</f>
        <v>4.0756939913783406E-3</v>
      </c>
      <c r="AX29" s="15">
        <f>AV29</f>
        <v>7.281090917823354</v>
      </c>
      <c r="AY29" s="15">
        <f>($I29/AX29)/1000</f>
        <v>3.1151223298953265E-3</v>
      </c>
      <c r="AZ29" s="24">
        <f>AW29-AY29+$J29</f>
        <v>8.5105716614830157E-3</v>
      </c>
      <c r="BA29" s="16">
        <f>AZ29/$D29</f>
        <v>8.5105716614830157E-3</v>
      </c>
      <c r="BB29" s="14">
        <f>AW29*$S$10</f>
        <v>12.059408186438082</v>
      </c>
      <c r="BC29" s="14">
        <f>AY29*$M29*$T$7*$D$11</f>
        <v>7.2139187729877117</v>
      </c>
      <c r="BD29" s="14">
        <f>BB29-BC29+$K29</f>
        <v>40.405989413450378</v>
      </c>
      <c r="BE29" s="44">
        <f>BD29/$D29</f>
        <v>40.405989413450378</v>
      </c>
      <c r="BF29" s="43">
        <f>83+15</f>
        <v>98</v>
      </c>
      <c r="BG29" s="15">
        <f>$H$3+$H$4*BF29+$H$5*($G29/$H29)+$H$6*BF29^2+$H$7*($G29/$H29)^2+$H$8*BF29*($G29/$H29)+$H$9*BF29^3+$H$10*($G29/$H29)^3+$H$11*BF29*($G29/$H29)^2+$H$12*BF29^2*($G29/$H29)</f>
        <v>7.8348543036092488</v>
      </c>
      <c r="BH29" s="15">
        <f>$G$29/(BG29*1000)</f>
        <v>3.7876260814169276E-3</v>
      </c>
      <c r="BI29" s="15">
        <f>BG29</f>
        <v>7.8348543036092488</v>
      </c>
      <c r="BJ29" s="15">
        <f>($I29/BI29)/1000</f>
        <v>2.8949471202879937E-3</v>
      </c>
      <c r="BK29" s="24">
        <f>BH29-BJ29+$J29</f>
        <v>8.4426789611289355E-3</v>
      </c>
      <c r="BL29" s="16">
        <f>BK29/$D29</f>
        <v>8.4426789611289355E-3</v>
      </c>
      <c r="BM29" s="14">
        <f>BH29*$T$10</f>
        <v>11.475977910870434</v>
      </c>
      <c r="BN29" s="14">
        <f>BJ29*$M29*$U$7*$D$11</f>
        <v>6.5656069598335636</v>
      </c>
      <c r="BO29" s="14">
        <f>BM29-BN29+$K29</f>
        <v>40.470870951036872</v>
      </c>
      <c r="BP29" s="44">
        <f>BO29/$D29</f>
        <v>40.470870951036872</v>
      </c>
      <c r="BQ29" s="43">
        <f>86+15</f>
        <v>101</v>
      </c>
      <c r="BR29" s="15">
        <f>$H$3+$H$4*BQ29+$H$5*($G29/$H29)+$H$6*BQ29^2+$H$7*($G29/$H29)^2+$H$8*BQ29*($G29/$H29)+$H$9*BQ29^3+$H$10*($G29/$H29)^3+$H$11*BQ29*($G29/$H29)^2+$H$12*BQ29^2*($G29/$H29)</f>
        <v>7.4997676382165306</v>
      </c>
      <c r="BS29" s="15">
        <f>$G$29/(BR29*1000)</f>
        <v>3.9568557235339866E-3</v>
      </c>
      <c r="BT29" s="15">
        <f>BR29</f>
        <v>7.4997676382165306</v>
      </c>
      <c r="BU29" s="15">
        <f>($I29/BT29)/1000</f>
        <v>3.024292217872409E-3</v>
      </c>
      <c r="BV29" s="24">
        <f>BS29-BU29+$J29</f>
        <v>8.4825635056615788E-3</v>
      </c>
      <c r="BW29" s="16">
        <f>BV29/$D29</f>
        <v>8.4825635056615788E-3</v>
      </c>
      <c r="BX29" s="14">
        <f>BS29*$U$10</f>
        <v>11.741157771174498</v>
      </c>
      <c r="BY29" s="14">
        <f>BU29*$M29*$V$7*$D$11</f>
        <v>7.0960688082034489</v>
      </c>
      <c r="BZ29" s="14">
        <f>BX29-BY29+$K29</f>
        <v>40.205588962971056</v>
      </c>
      <c r="CA29" s="44">
        <f>BZ29/$D29</f>
        <v>40.205588962971056</v>
      </c>
      <c r="CB29" s="43">
        <f>83+15</f>
        <v>98</v>
      </c>
      <c r="CC29" s="15">
        <f>$H$3+$H$4*CB29+$H$5*($G29/$H29)+$H$6*CB29^2+$H$7*($G29/$H29)^2+$H$8*CB29*($G29/$H29)+$H$9*CB29^3+$H$10*($G29/$H29)^3+$H$11*CB29*($G29/$H29)^2+$H$12*CB29^2*($G29/$H29)</f>
        <v>7.8348543036092488</v>
      </c>
      <c r="CD29" s="15">
        <f>$G$29/(CC29*1000)</f>
        <v>3.7876260814169276E-3</v>
      </c>
      <c r="CE29" s="15">
        <f>CC29</f>
        <v>7.8348543036092488</v>
      </c>
      <c r="CF29" s="15">
        <f>($I29/CE29)/1000</f>
        <v>2.8949471202879937E-3</v>
      </c>
      <c r="CG29" s="24">
        <f>CD29-CF29+$J29</f>
        <v>8.4426789611289355E-3</v>
      </c>
      <c r="CH29" s="16">
        <f>CG29/$D29</f>
        <v>8.4426789611289355E-3</v>
      </c>
      <c r="CI29" s="14">
        <f>CD29*$V$10</f>
        <v>11.627534258007099</v>
      </c>
      <c r="CJ29" s="14">
        <f>CF29*$M29*$W$7*$D$11</f>
        <v>6.8637483798001302</v>
      </c>
      <c r="CK29" s="14">
        <f>CI29-CJ29+$K29</f>
        <v>40.324285878206972</v>
      </c>
      <c r="CL29" s="44">
        <f>CK29/$D29</f>
        <v>40.324285878206972</v>
      </c>
      <c r="CM29" s="43">
        <f>89+15</f>
        <v>104</v>
      </c>
      <c r="CN29" s="15">
        <f>$H$3+$H$4*CM29+$H$5*($G29/$H29)+$H$6*CM29^2+$H$7*($G29/$H29)^2+$H$8*CM29*($G29/$H29)+$H$9*CM29^3+$H$10*($G29/$H29)^3+$H$11*CM29*($G29/$H29)^2+$H$12*CM29^2*($G29/$H29)</f>
        <v>7.1731404854674166</v>
      </c>
      <c r="CO29" s="15">
        <f>$G$29/(CN29*1000)</f>
        <v>4.1370301563971581E-3</v>
      </c>
      <c r="CP29" s="15">
        <f>CN29</f>
        <v>7.1731404854674166</v>
      </c>
      <c r="CQ29" s="15">
        <f>($I29/CP29)/1000</f>
        <v>3.1620026054225005E-3</v>
      </c>
      <c r="CR29" s="24">
        <f>CO29-CQ29+$J29</f>
        <v>8.5250275509746593E-3</v>
      </c>
      <c r="CS29" s="16">
        <f>CR29/$D29</f>
        <v>8.5250275509746593E-3</v>
      </c>
      <c r="CT29" s="14">
        <f>CO29*$W$10</f>
        <v>12.833226778136572</v>
      </c>
      <c r="CU29" s="14">
        <f>CQ29*$M29*$X$7*$D$11</f>
        <v>7.4640572432721086</v>
      </c>
      <c r="CV29" s="14">
        <f>CT29-CU29+$K29</f>
        <v>40.929669534864466</v>
      </c>
      <c r="CW29" s="44">
        <f>CV29/$D29</f>
        <v>40.929669534864466</v>
      </c>
      <c r="CX29" s="43">
        <f>96+15</f>
        <v>111</v>
      </c>
      <c r="CY29" s="15">
        <f>$H$3+$H$4*CX29+$H$5*($G29/$H29)+$H$6*CX29^2+$H$7*($G29/$H29)^2+$H$8*CX29*($G29/$H29)+$H$9*CX29^3+$H$10*($G29/$H29)^3+$H$11*CX29*($G29/$H29)^2+$H$12*CX29^2*($G29/$H29)</f>
        <v>6.4425744504920166</v>
      </c>
      <c r="CZ29" s="15">
        <f>$G$29/(CY29*1000)</f>
        <v>4.6061553083310888E-3</v>
      </c>
      <c r="DA29" s="15">
        <f>CY29</f>
        <v>6.4425744504920166</v>
      </c>
      <c r="DB29" s="15">
        <f>($I29/DA29)/1000</f>
        <v>3.5205629486171346E-3</v>
      </c>
      <c r="DC29" s="24">
        <f>CZ29-DB29+$J29</f>
        <v>8.6355923597139558E-3</v>
      </c>
      <c r="DD29" s="16">
        <f>DC29/$D29</f>
        <v>8.6355923597139558E-3</v>
      </c>
      <c r="DE29" s="14">
        <f>CZ29*$X$10</f>
        <v>14.22583536827911</v>
      </c>
      <c r="DF29" s="14">
        <f>DB29*$M29*$Y$7*$D$11</f>
        <v>8.2268954901182862</v>
      </c>
      <c r="DG29" s="14">
        <f>DE29-DF29+$K29</f>
        <v>41.559439878160831</v>
      </c>
      <c r="DH29" s="44">
        <f>DG29/$D29</f>
        <v>41.559439878160831</v>
      </c>
      <c r="DI29" s="43">
        <f>100+15</f>
        <v>115</v>
      </c>
      <c r="DJ29" s="15">
        <f>$H$3+$H$4*DI29+$H$5*($G29/$H29)+$H$6*DI29^2+$H$7*($G29/$H29)^2+$H$8*DI29*($G29/$H29)+$H$9*DI29^3+$H$10*($G29/$H29)^3+$H$11*DI29*($G29/$H29)^2+$H$12*DI29^2*($G29/$H29)</f>
        <v>6.044045271560071</v>
      </c>
      <c r="DK29" s="15">
        <f>$G$29/(DJ29*1000)</f>
        <v>4.9098736311735626E-3</v>
      </c>
      <c r="DL29" s="15">
        <f>DJ29</f>
        <v>6.044045271560071</v>
      </c>
      <c r="DM29" s="15">
        <f>($I29/DL29)/1000</f>
        <v>3.7527000353283443E-3</v>
      </c>
      <c r="DN29" s="24">
        <f>DK29-DM29+$J29</f>
        <v>8.707173595845219E-3</v>
      </c>
      <c r="DO29" s="16">
        <f>DN29/$D29</f>
        <v>8.707173595845219E-3</v>
      </c>
      <c r="DP29" s="14">
        <f>DK29*$Y$10</f>
        <v>15.01138086853444</v>
      </c>
      <c r="DQ29" s="14">
        <f>DM29*$M29*$Z$7*$D$11</f>
        <v>8.6753319230014885</v>
      </c>
      <c r="DR29" s="14">
        <f>DP29-DQ29+$K29</f>
        <v>41.896548945532956</v>
      </c>
      <c r="DS29" s="44">
        <f>DR29/$D29</f>
        <v>41.896548945532956</v>
      </c>
      <c r="DT29" s="43">
        <f>104+15</f>
        <v>119</v>
      </c>
      <c r="DU29" s="15">
        <f>$H$3+$H$4*DT29+$H$5*($G29/$H29)+$H$6*DT29^2+$H$7*($G29/$H29)^2+$H$8*DT29*($G29/$H29)+$H$9*DT29^3+$H$10*($G29/$H29)^3+$H$11*DT29*($G29/$H29)^2+$H$12*DT29^2*($G29/$H29)</f>
        <v>5.6585848385945274</v>
      </c>
      <c r="DV29" s="15">
        <f>$G$29/(DU29*1000)</f>
        <v>5.2443321697767135E-3</v>
      </c>
      <c r="DW29" s="15">
        <f>DU29</f>
        <v>5.6585848385945274</v>
      </c>
      <c r="DX29" s="15">
        <f>($I29/DW29)/1000</f>
        <v>4.0083323924755693E-3</v>
      </c>
      <c r="DY29" s="24">
        <f>DV29-DX29+$J29</f>
        <v>8.7859997773011463E-3</v>
      </c>
      <c r="DZ29" s="16">
        <f>DY29/$D29</f>
        <v>8.7859997773011463E-3</v>
      </c>
      <c r="EA29" s="14">
        <f>DV29*$Z$10</f>
        <v>15.862034991292218</v>
      </c>
      <c r="EB29" s="14">
        <f>DX29*$M29*$AA$7*$D$11</f>
        <v>8.9343011220202353</v>
      </c>
      <c r="EC29" s="14">
        <f>EA29-EB29+$K29</f>
        <v>42.488233869271987</v>
      </c>
      <c r="ED29" s="44">
        <f>EC29/$D29</f>
        <v>42.488233869271987</v>
      </c>
      <c r="EE29" s="43">
        <f>100+15</f>
        <v>115</v>
      </c>
      <c r="EF29" s="15">
        <f>$H$3+$H$4*EE29+$H$5*($G29/$H29)+$H$6*EE29^2+$H$7*($G29/$H29)^2+$H$8*EE29*($G29/$H29)+$H$9*EE29^3+$H$10*($G29/$H29)^3+$H$11*EE29*($G29/$H29)^2+$H$12*EE29^2*($G29/$H29)</f>
        <v>6.044045271560071</v>
      </c>
      <c r="EG29" s="15">
        <f>$G$29/(EF29*1000)</f>
        <v>4.9098736311735626E-3</v>
      </c>
      <c r="EH29" s="15">
        <f>EF29</f>
        <v>6.044045271560071</v>
      </c>
      <c r="EI29" s="15">
        <f>($I29/EH29)/1000</f>
        <v>3.7527000353283443E-3</v>
      </c>
      <c r="EJ29" s="24">
        <f>EG29-EI29+$J29</f>
        <v>8.707173595845219E-3</v>
      </c>
      <c r="EK29" s="16">
        <f>EJ29/$D29</f>
        <v>8.707173595845219E-3</v>
      </c>
      <c r="EL29" s="14">
        <f>EG29*$AA$10</f>
        <v>14.318371793591281</v>
      </c>
      <c r="EM29" s="14">
        <f>EI29*$M29*$AB$7*$D$11</f>
        <v>8.4959485399639529</v>
      </c>
      <c r="EN29" s="14">
        <f>EL29-EM29+$K29</f>
        <v>41.382923253627332</v>
      </c>
      <c r="EO29" s="44">
        <f>EN29/$D29</f>
        <v>41.382923253627332</v>
      </c>
      <c r="EP29" s="43">
        <f>101+15</f>
        <v>116</v>
      </c>
      <c r="EQ29" s="15">
        <f>$H$3+$H$4*EP29+$H$5*($G29/$H29)+$H$6*EP29^2+$H$7*($G29/$H29)^2+$H$8*EP29*($G29/$H29)+$H$9*EP29^3+$H$10*($G29/$H29)^3+$H$11*EP29*($G29/$H29)^2+$H$12*EP29^2*($G29/$H29)</f>
        <v>5.9464769593176205</v>
      </c>
      <c r="ER29" s="15">
        <f>$G$29/(EQ29*1000)</f>
        <v>4.9904336143021767E-3</v>
      </c>
      <c r="ES29" s="15">
        <f>EQ29</f>
        <v>5.9464769593176205</v>
      </c>
      <c r="ET29" s="15">
        <f>($I29/ES29)/1000</f>
        <v>3.8142734024336268E-3</v>
      </c>
      <c r="EU29" s="24">
        <f>ER29-ET29+$J29</f>
        <v>8.7261602118685506E-3</v>
      </c>
      <c r="EV29" s="16">
        <f>EU29/$D29</f>
        <v>8.7261602118685506E-3</v>
      </c>
      <c r="EW29" s="14">
        <f>ER29*$AB$10</f>
        <v>14.781985359766521</v>
      </c>
      <c r="EX29" s="14">
        <f>ET29*$M29*$AC$7*$D$11</f>
        <v>8.8340977077534948</v>
      </c>
      <c r="EY29" s="14">
        <f>EW29-EX29+$K29</f>
        <v>41.508387652013027</v>
      </c>
      <c r="EZ29" s="44">
        <f>EY29/$D29</f>
        <v>41.508387652013027</v>
      </c>
      <c r="FA29" s="43">
        <f>103+15</f>
        <v>118</v>
      </c>
      <c r="FB29" s="15">
        <f>$H$3+$H$4*FA29+$H$5*($G29/$H29)+$H$6*FA29^2+$H$7*($G29/$H29)^2+$H$8*FA29*($G29/$H29)+$H$9*FA29^3+$H$10*($G29/$H29)^3+$H$11*FA29*($G29/$H29)^2+$H$12*FA29^2*($G29/$H29)</f>
        <v>5.7537555392081599</v>
      </c>
      <c r="FC29" s="15">
        <f>$G$29/(FB29*1000)</f>
        <v>5.1575876490115944E-3</v>
      </c>
      <c r="FD29" s="15">
        <f>FB29</f>
        <v>5.7537555392081599</v>
      </c>
      <c r="FE29" s="15">
        <f>($I29/FD29)/1000</f>
        <v>3.9420320779271498E-3</v>
      </c>
      <c r="FF29" s="24">
        <f>FC29-FE29+$J29</f>
        <v>8.7655555710844449E-3</v>
      </c>
      <c r="FG29" s="16">
        <f>FF29/$D29</f>
        <v>8.7655555710844449E-3</v>
      </c>
      <c r="FH29" s="14">
        <f>FC29*$AC$10</f>
        <v>15.628721752699871</v>
      </c>
      <c r="FI29" s="14">
        <f>FE29*$M29*$AD$7*$D$11</f>
        <v>9.030104965268837</v>
      </c>
      <c r="FJ29" s="14">
        <f>FH29-FI29+$K29</f>
        <v>42.159116787431039</v>
      </c>
      <c r="FK29" s="44">
        <f>FJ29/$D29</f>
        <v>42.159116787431039</v>
      </c>
      <c r="FL29" s="43">
        <f>113+15</f>
        <v>128</v>
      </c>
      <c r="FM29" s="15">
        <f>$H$3+$H$4*FL29+$H$5*($G29/$H29)+$H$6*FL29^2+$H$7*($G29/$H29)^2+$H$8*FL29*($G29/$H29)+$H$9*FL29^3+$H$10*($G29/$H29)^3+$H$11*FL29*($G29/$H29)^2+$H$12*FL29^2*($G29/$H29)</f>
        <v>4.8361654691082965</v>
      </c>
      <c r="FN29" s="15">
        <f>$G$29/(FM29*1000)</f>
        <v>6.1361627706927255E-3</v>
      </c>
      <c r="FO29" s="15">
        <f>FM29</f>
        <v>4.8361654691082965</v>
      </c>
      <c r="FP29" s="15">
        <f>($I29/FO29)/1000</f>
        <v>4.6899737093345686E-3</v>
      </c>
      <c r="FQ29" s="24">
        <f>FN29-FP29+$J29</f>
        <v>8.9961890613581581E-3</v>
      </c>
      <c r="FR29" s="16">
        <f>FQ29/$D29</f>
        <v>8.9961890613581581E-3</v>
      </c>
      <c r="FS29" s="14">
        <f>FN29*$AD$10</f>
        <v>18.390603415873336</v>
      </c>
      <c r="FT29" s="14">
        <f>FP29*$M29*$AE$7*$D$11</f>
        <v>11.855217954812515</v>
      </c>
      <c r="FU29" s="14">
        <f>FS29-FT29+$K29</f>
        <v>42.095885461060824</v>
      </c>
      <c r="FV29" s="44">
        <f>FU29/$D29</f>
        <v>42.095885461060824</v>
      </c>
      <c r="FW29" s="43">
        <f>85+15</f>
        <v>100</v>
      </c>
      <c r="FX29" s="15">
        <f>$H$3+$H$4*FW29+$H$5*($G29/$H29)+$H$6*FW29^2+$H$7*($G29/$H29)^2+$H$8*FW29*($G29/$H29)+$H$9*FW29^3+$H$10*($G29/$H29)^3+$H$11*FW29*($G29/$H29)^2+$H$12*FW29^2*($G29/$H29)</f>
        <v>7.6105115190003954</v>
      </c>
      <c r="FY29" s="15">
        <f>$G$29/(FX29*1000)</f>
        <v>3.8992777857788179E-3</v>
      </c>
      <c r="FZ29" s="15">
        <f>FX29</f>
        <v>7.6105115190003954</v>
      </c>
      <c r="GA29" s="15">
        <f>($I29/FZ29)/1000</f>
        <v>2.9802844194484176E-3</v>
      </c>
      <c r="GB29" s="24">
        <f>FY29-GA29+$J29</f>
        <v>8.4689933663304011E-3</v>
      </c>
      <c r="GC29" s="16">
        <f>GB29/$D29</f>
        <v>8.4689933663304011E-3</v>
      </c>
      <c r="GD29" s="14">
        <f>FY29*$AE$10</f>
        <v>12.895844073562802</v>
      </c>
      <c r="GE29" s="14">
        <f>GA29*$M29*$AF$7*$D$11</f>
        <v>6.2962157301942314</v>
      </c>
      <c r="GF29" s="14">
        <f>GD29-GE29+$K29</f>
        <v>42.160128343368577</v>
      </c>
      <c r="GG29" s="44">
        <f>GF29/$D29</f>
        <v>42.160128343368577</v>
      </c>
    </row>
    <row r="30" spans="2:202" ht="13.8" x14ac:dyDescent="0.25">
      <c r="B30" s="167" t="s">
        <v>151</v>
      </c>
      <c r="C30" s="3" t="s">
        <v>156</v>
      </c>
      <c r="D30" s="3">
        <v>1</v>
      </c>
      <c r="E30" s="3">
        <v>0</v>
      </c>
      <c r="F30" s="3">
        <f>E30-10</f>
        <v>-10</v>
      </c>
      <c r="G30" s="11">
        <f>'Cooling Load'!F33</f>
        <v>29.675498504452051</v>
      </c>
      <c r="H30" s="14">
        <f>G30*1.15</f>
        <v>34.126823280119858</v>
      </c>
      <c r="I30" s="14">
        <f>'Cooling Load'!H33</f>
        <v>22.681488904109589</v>
      </c>
      <c r="J30" s="110">
        <f>'Cooling Load'!H21</f>
        <v>7.5500000000000012E-3</v>
      </c>
      <c r="K30" s="109">
        <f>'Cooling Load'!H27</f>
        <v>35.560500000000005</v>
      </c>
      <c r="L30" s="98">
        <f>I30/H30</f>
        <v>0.66462350503401235</v>
      </c>
      <c r="M30" s="97">
        <f>(1-(1-L30))*(1-$E$8)</f>
        <v>0.59816115453061114</v>
      </c>
      <c r="N30" s="43">
        <f>69+10</f>
        <v>79</v>
      </c>
      <c r="O30" s="15">
        <f>$I$3+$I$4*N30+$I$5*($G30/$H30)+$I$6*N30^2+$I$7*($G30/$H30)^2+$I$8*N30*($G30/$H30)+$I$9*N30^3+$I$10*($G30/$H30)^3+$I$11*N30*($G30/$H30)^2+$I$12*N30^2*($G30/$H30)</f>
        <v>7.7386212864169197</v>
      </c>
      <c r="P30" s="15">
        <f>$G$30/(O30*1000)</f>
        <v>3.8347268080606879E-3</v>
      </c>
      <c r="Q30" s="15">
        <f>O30</f>
        <v>7.7386212864169197</v>
      </c>
      <c r="R30" s="15">
        <f>($I30/Q30)/1000</f>
        <v>2.9309470078243624E-3</v>
      </c>
      <c r="S30" s="24">
        <f>P30-R30+$J30</f>
        <v>8.4537798002363267E-3</v>
      </c>
      <c r="T30" s="16">
        <f>S30/$D30</f>
        <v>8.4537798002363267E-3</v>
      </c>
      <c r="U30" s="14">
        <f>P30*$Q$11</f>
        <v>10.496580442346545</v>
      </c>
      <c r="V30" s="14">
        <f>R30*$M30*$Q$7*$E$11</f>
        <v>6.1318978583397019</v>
      </c>
      <c r="W30" s="14">
        <f>U30-V30+$K30</f>
        <v>39.925182584006848</v>
      </c>
      <c r="X30" s="44">
        <f>W30/$D30</f>
        <v>39.925182584006848</v>
      </c>
      <c r="Y30" s="43">
        <f>96+10</f>
        <v>106</v>
      </c>
      <c r="Z30" s="15">
        <f>$I$3+$I$4*Y30+$I$5*($G30/$H30)+$I$6*Y30^2+$I$7*($G30/$H30)^2+$I$8*Y30*($G30/$H30)+$I$9*Y30^3+$I$10*($G30/$H30)^3+$I$11*Y30*($G30/$H30)^2+$I$12*Y30^2*($G30/$H30)</f>
        <v>4.9787525693054091</v>
      </c>
      <c r="AA30" s="15">
        <f>$G$30/(Z30*1000)</f>
        <v>5.9604284590089821E-3</v>
      </c>
      <c r="AB30" s="15">
        <f>Z30</f>
        <v>4.9787525693054091</v>
      </c>
      <c r="AC30" s="15">
        <f>($I30/AB30)/1000</f>
        <v>4.5556569820206809E-3</v>
      </c>
      <c r="AD30" s="24">
        <f>AA30-AC30+$J30</f>
        <v>8.9547714769883033E-3</v>
      </c>
      <c r="AE30" s="16">
        <f>AD30/$D30</f>
        <v>8.9547714769883033E-3</v>
      </c>
      <c r="AF30" s="14">
        <f>AA30*$R$11</f>
        <v>16.434526106646075</v>
      </c>
      <c r="AG30" s="14">
        <f>AC30*$M30*$R$7*$E$11</f>
        <v>9.6007300653471148</v>
      </c>
      <c r="AH30" s="14">
        <f>AF30-AG30+$K30</f>
        <v>42.394296041298965</v>
      </c>
      <c r="AI30" s="44">
        <f>AH30/$D30</f>
        <v>42.394296041298965</v>
      </c>
      <c r="AJ30" s="43">
        <f>89+10</f>
        <v>99</v>
      </c>
      <c r="AK30" s="15">
        <f>$I$3+$I$4*AJ30+$I$5*($G30/$H30)+$I$6*AJ30^2+$I$7*($G30/$H30)^2+$I$8*AJ30*($G30/$H30)+$I$9*AJ30^3+$I$10*($G30/$H30)^3+$I$11*AJ30*($G30/$H30)^2+$I$12*AJ30^2*($G30/$H30)</f>
        <v>5.5747757160485607</v>
      </c>
      <c r="AL30" s="15">
        <f>$G$30/(AK30*1000)</f>
        <v>5.3231735258914142E-3</v>
      </c>
      <c r="AM30" s="15">
        <f>AK30</f>
        <v>5.5747757160485607</v>
      </c>
      <c r="AN30" s="15">
        <f>($I30/AM30)/1000</f>
        <v>4.0685921836845452E-3</v>
      </c>
      <c r="AO30" s="24">
        <f>AL30-AN30+$J30</f>
        <v>8.8045813422068693E-3</v>
      </c>
      <c r="AP30" s="16">
        <f>AO30/$D30</f>
        <v>8.8045813422068693E-3</v>
      </c>
      <c r="AQ30" s="14">
        <f>AL30*$Q$11</f>
        <v>14.570821317867514</v>
      </c>
      <c r="AR30" s="14">
        <f>AN30*$M30*$S$7*$E$11</f>
        <v>8.7168792025255559</v>
      </c>
      <c r="AS30" s="14">
        <f>AQ30-AR30+$K30</f>
        <v>41.414442115341963</v>
      </c>
      <c r="AT30" s="44">
        <f>AS30/$D30</f>
        <v>41.414442115341963</v>
      </c>
      <c r="AU30" s="43">
        <f>88+10</f>
        <v>98</v>
      </c>
      <c r="AV30" s="15">
        <f>$I$3+$I$4*AU30+$I$5*($G30/$H30)+$I$6*AU30^2+$I$7*($G30/$H30)^2+$I$8*AU30*($G30/$H30)+$I$9*AU30^3+$I$10*($G30/$H30)^3+$I$11*AU30*($G30/$H30)^2+$I$12*AU30^2*($G30/$H30)</f>
        <v>5.665598965208031</v>
      </c>
      <c r="AW30" s="178">
        <f>$G$30/(AV30*1000)</f>
        <v>5.2378395800138349E-3</v>
      </c>
      <c r="AX30" s="15">
        <f>AV30</f>
        <v>5.665598965208031</v>
      </c>
      <c r="AY30" s="15">
        <f>($I30/AX30)/1000</f>
        <v>4.0033699955458754E-3</v>
      </c>
      <c r="AZ30" s="24">
        <f>AW30-AY30+$J30</f>
        <v>8.7844695844679598E-3</v>
      </c>
      <c r="BA30" s="16">
        <f>AZ30/$D30</f>
        <v>8.7844695844679598E-3</v>
      </c>
      <c r="BB30" s="14">
        <f>AW30*$S$11</f>
        <v>14.682348339016706</v>
      </c>
      <c r="BC30" s="14">
        <f>AY30*$M30*$T$7*$E$11</f>
        <v>8.7829573953298397</v>
      </c>
      <c r="BD30" s="14">
        <f>BB30-BC30+$K30</f>
        <v>41.459890943686872</v>
      </c>
      <c r="BE30" s="44">
        <f>BD30/$D30</f>
        <v>41.459890943686872</v>
      </c>
      <c r="BF30" s="43">
        <f>83+10</f>
        <v>93</v>
      </c>
      <c r="BG30" s="15">
        <f>$I$3+$I$4*BF30+$I$5*($G30/$H30)+$I$6*BF30^2+$I$7*($G30/$H30)^2+$I$8*BF30*($G30/$H30)+$I$9*BF30^3+$I$10*($G30/$H30)^3+$I$11*BF30*($G30/$H30)^2+$I$12*BF30^2*($G30/$H30)</f>
        <v>6.1439585132971386</v>
      </c>
      <c r="BH30" s="15">
        <f>$G$30/(BG30*1000)</f>
        <v>4.8300291156306609E-3</v>
      </c>
      <c r="BI30" s="15">
        <f>BG30</f>
        <v>6.1439585132971386</v>
      </c>
      <c r="BJ30" s="15">
        <f>($I30/BI30)/1000</f>
        <v>3.6916735122837978E-3</v>
      </c>
      <c r="BK30" s="24">
        <f>BH30-BJ30+$J30</f>
        <v>8.6883556033468638E-3</v>
      </c>
      <c r="BL30" s="16">
        <f>BK30/$D30</f>
        <v>8.6883556033468638E-3</v>
      </c>
      <c r="BM30" s="14">
        <f>BH30*$T$11</f>
        <v>13.864086459579003</v>
      </c>
      <c r="BN30" s="14">
        <f>BJ30*$M30*$U$7*$E$11</f>
        <v>7.9318854791906794</v>
      </c>
      <c r="BO30" s="14">
        <f>BM30-BN30+$K30</f>
        <v>41.492700980388328</v>
      </c>
      <c r="BP30" s="44">
        <f>BO30/$D30</f>
        <v>41.492700980388328</v>
      </c>
      <c r="BQ30" s="43">
        <f>86+10</f>
        <v>96</v>
      </c>
      <c r="BR30" s="15">
        <f>$I$3+$I$4*BQ30+$I$5*($G30/$H30)+$I$6*BQ30^2+$I$7*($G30/$H30)^2+$I$8*BQ30*($G30/$H30)+$I$9*BQ30^3+$I$10*($G30/$H30)^3+$I$11*BQ30*($G30/$H30)^2+$I$12*BQ30^2*($G30/$H30)</f>
        <v>5.851957774803612</v>
      </c>
      <c r="BS30" s="15">
        <f>$G$30/(BR30*1000)</f>
        <v>5.0710377016430098E-3</v>
      </c>
      <c r="BT30" s="15">
        <f>BR30</f>
        <v>5.851957774803612</v>
      </c>
      <c r="BU30" s="15">
        <f>($I30/BT30)/1000</f>
        <v>3.8758804791394386E-3</v>
      </c>
      <c r="BV30" s="24">
        <f>BS30-BU30+$J30</f>
        <v>8.7451572225035728E-3</v>
      </c>
      <c r="BW30" s="16">
        <f>BV30/$D30</f>
        <v>8.7451572225035728E-3</v>
      </c>
      <c r="BX30" s="14">
        <f>BS30*$U$11</f>
        <v>14.255302985038648</v>
      </c>
      <c r="BY30" s="14">
        <f>BU30*$M30*$V$7*$E$11</f>
        <v>8.6155567308677146</v>
      </c>
      <c r="BZ30" s="14">
        <f>BX30-BY30+$K30</f>
        <v>41.200246254170935</v>
      </c>
      <c r="CA30" s="44">
        <f>BZ30/$D30</f>
        <v>41.200246254170935</v>
      </c>
      <c r="CB30" s="43">
        <f>83+10</f>
        <v>93</v>
      </c>
      <c r="CC30" s="15">
        <f>$I$3+$I$4*CB30+$I$5*($G30/$H30)+$I$6*CB30^2+$I$7*($G30/$H30)^2+$I$8*CB30*($G30/$H30)+$I$9*CB30^3+$I$10*($G30/$H30)^3+$I$11*CB30*($G30/$H30)^2+$I$12*CB30^2*($G30/$H30)</f>
        <v>6.1439585132971386</v>
      </c>
      <c r="CD30" s="15">
        <f>$G$30/(CC30*1000)</f>
        <v>4.8300291156306609E-3</v>
      </c>
      <c r="CE30" s="15">
        <f>CC30</f>
        <v>6.1439585132971386</v>
      </c>
      <c r="CF30" s="15">
        <f>($I30/CE30)/1000</f>
        <v>3.6916735122837978E-3</v>
      </c>
      <c r="CG30" s="24">
        <f>CD30-CF30+$J30</f>
        <v>8.6883556033468638E-3</v>
      </c>
      <c r="CH30" s="16">
        <f>CG30/$D30</f>
        <v>8.6883556033468638E-3</v>
      </c>
      <c r="CI30" s="14">
        <f>CD30*$V$11</f>
        <v>14.047181121883154</v>
      </c>
      <c r="CJ30" s="14">
        <f>CF30*$M30*$W$7*$E$11</f>
        <v>8.2920690256998419</v>
      </c>
      <c r="CK30" s="14">
        <f>CI30-CJ30+$K30</f>
        <v>41.315612096183315</v>
      </c>
      <c r="CL30" s="44">
        <f>CK30/$D30</f>
        <v>41.315612096183315</v>
      </c>
      <c r="CM30" s="43">
        <f>89+10</f>
        <v>99</v>
      </c>
      <c r="CN30" s="15">
        <f>$I$3+$I$4*CM30+$I$5*($G30/$H30)+$I$6*CM30^2+$I$7*($G30/$H30)^2+$I$8*CM30*($G30/$H30)+$I$9*CM30^3+$I$10*($G30/$H30)^3+$I$11*CM30*($G30/$H30)^2+$I$12*CM30^2*($G30/$H30)</f>
        <v>5.5747757160485607</v>
      </c>
      <c r="CO30" s="15">
        <f>$G$30/(CN30*1000)</f>
        <v>5.3231735258914142E-3</v>
      </c>
      <c r="CP30" s="15">
        <f>CN30</f>
        <v>5.5747757160485607</v>
      </c>
      <c r="CQ30" s="15">
        <f>($I30/CP30)/1000</f>
        <v>4.0685921836845452E-3</v>
      </c>
      <c r="CR30" s="24">
        <f>CO30-CQ30+$J30</f>
        <v>8.8045813422068693E-3</v>
      </c>
      <c r="CS30" s="16">
        <f>CR30/$D30</f>
        <v>8.8045813422068693E-3</v>
      </c>
      <c r="CT30" s="14">
        <f>CO30*$W$11</f>
        <v>15.64360026119418</v>
      </c>
      <c r="CU30" s="14">
        <f>CQ30*$M30*$X$7*$E$11</f>
        <v>9.0986257672424991</v>
      </c>
      <c r="CV30" s="14">
        <f>CT30-CU30+$K30</f>
        <v>42.105474493951689</v>
      </c>
      <c r="CW30" s="44">
        <f>CV30/$D30</f>
        <v>42.105474493951689</v>
      </c>
      <c r="CX30" s="43">
        <f>96+10</f>
        <v>106</v>
      </c>
      <c r="CY30" s="15">
        <f>$I$3+$I$4*CX30+$I$5*($G30/$H30)+$I$6*CX30^2+$I$7*($G30/$H30)^2+$I$8*CX30*($G30/$H30)+$I$9*CX30^3+$I$10*($G30/$H30)^3+$I$11*CX30*($G30/$H30)^2+$I$12*CX30^2*($G30/$H30)</f>
        <v>4.9787525693054091</v>
      </c>
      <c r="CZ30" s="15">
        <f>$G$30/(CY30*1000)</f>
        <v>5.9604284590089821E-3</v>
      </c>
      <c r="DA30" s="15">
        <f>CY30</f>
        <v>4.9787525693054091</v>
      </c>
      <c r="DB30" s="15">
        <f>($I30/DA30)/1000</f>
        <v>4.5556569820206809E-3</v>
      </c>
      <c r="DC30" s="24">
        <f>CZ30-DB30+$J30</f>
        <v>8.9547714769883033E-3</v>
      </c>
      <c r="DD30" s="16">
        <f>DC30/$D30</f>
        <v>8.9547714769883033E-3</v>
      </c>
      <c r="DE30" s="14">
        <f>CZ30*$X$11</f>
        <v>17.439562470042642</v>
      </c>
      <c r="DF30" s="14">
        <f>DB30*$M30*$Y$7*$E$11</f>
        <v>10.0854153109594</v>
      </c>
      <c r="DG30" s="14">
        <f>DE30-DF30+$K30</f>
        <v>42.914647159083245</v>
      </c>
      <c r="DH30" s="44">
        <f>DG30/$D30</f>
        <v>42.914647159083245</v>
      </c>
      <c r="DI30" s="43">
        <f>100+10</f>
        <v>110</v>
      </c>
      <c r="DJ30" s="15">
        <f>$I$3+$I$4*DI30+$I$5*($G30/$H30)+$I$6*DI30^2+$I$7*($G30/$H30)^2+$I$8*DI30*($G30/$H30)+$I$9*DI30^3+$I$10*($G30/$H30)^3+$I$11*DI30*($G30/$H30)^2+$I$12*DI30^2*($G30/$H30)</f>
        <v>4.6653923073913646</v>
      </c>
      <c r="DK30" s="15">
        <f>$G$30/(DJ30*1000)</f>
        <v>6.3607723743697312E-3</v>
      </c>
      <c r="DL30" s="15">
        <f>DJ30</f>
        <v>4.6653923073913646</v>
      </c>
      <c r="DM30" s="15">
        <f>($I30/DL30)/1000</f>
        <v>4.8616466547036974E-3</v>
      </c>
      <c r="DN30" s="24">
        <f>DK30-DM30+$J30</f>
        <v>9.049125719666035E-3</v>
      </c>
      <c r="DO30" s="16">
        <f>DN30/$D30</f>
        <v>9.049125719666035E-3</v>
      </c>
      <c r="DP30" s="14">
        <f>DK30*$Y$11</f>
        <v>18.423794799100758</v>
      </c>
      <c r="DQ30" s="14">
        <f>DM30*$M30*$Z$7*$E$11</f>
        <v>10.647423882135634</v>
      </c>
      <c r="DR30" s="14">
        <f>DP30-DQ30+$K30</f>
        <v>43.336870916965125</v>
      </c>
      <c r="DS30" s="44">
        <f>DR30/$D30</f>
        <v>43.336870916965125</v>
      </c>
      <c r="DT30" s="43">
        <f>104+10</f>
        <v>114</v>
      </c>
      <c r="DU30" s="15">
        <f>$I$3+$I$4*DT30+$I$5*($G30/$H30)+$I$6*DT30^2+$I$7*($G30/$H30)^2+$I$8*DT30*($G30/$H30)+$I$9*DT30^3+$I$10*($G30/$H30)^3+$I$11*DT30*($G30/$H30)^2+$I$12*DT30^2*($G30/$H30)</f>
        <v>4.3681956261112758</v>
      </c>
      <c r="DV30" s="15">
        <f>$G$30/(DU30*1000)</f>
        <v>6.7935369760145662E-3</v>
      </c>
      <c r="DW30" s="15">
        <f>DU30</f>
        <v>4.3681956261112758</v>
      </c>
      <c r="DX30" s="15">
        <f>($I30/DW30)/1000</f>
        <v>5.1924160100635108E-3</v>
      </c>
      <c r="DY30" s="24">
        <f>DV30-DX30+$J30</f>
        <v>9.1511209659510574E-3</v>
      </c>
      <c r="DZ30" s="16">
        <f>DY30/$D30</f>
        <v>9.1511209659510574E-3</v>
      </c>
      <c r="EA30" s="14">
        <f>DV30*$Z$11</f>
        <v>19.466306614592519</v>
      </c>
      <c r="EB30" s="14">
        <f>DX30*$M30*$AA$7*$E$11</f>
        <v>10.964409366378248</v>
      </c>
      <c r="EC30" s="14">
        <f>EA30-EB30+$K30</f>
        <v>44.062397248214275</v>
      </c>
      <c r="ED30" s="44">
        <f>EC30/$D30</f>
        <v>44.062397248214275</v>
      </c>
      <c r="EE30" s="43">
        <f>100+10</f>
        <v>110</v>
      </c>
      <c r="EF30" s="15">
        <f>$I$3+$I$4*EE30+$I$5*($G30/$H30)+$I$6*EE30^2+$I$7*($G30/$H30)^2+$I$8*EE30*($G30/$H30)+$I$9*EE30^3+$I$10*($G30/$H30)^3+$I$11*EE30*($G30/$H30)^2+$I$12*EE30^2*($G30/$H30)</f>
        <v>4.6653923073913646</v>
      </c>
      <c r="EG30" s="15">
        <f>$G$30/(EF30*1000)</f>
        <v>6.3607723743697312E-3</v>
      </c>
      <c r="EH30" s="15">
        <f>EF30</f>
        <v>4.6653923073913646</v>
      </c>
      <c r="EI30" s="15">
        <f>($I30/EH30)/1000</f>
        <v>4.8616466547036974E-3</v>
      </c>
      <c r="EJ30" s="24">
        <f>EG30-EI30+$J30</f>
        <v>9.049125719666035E-3</v>
      </c>
      <c r="EK30" s="16">
        <f>EJ30/$D30</f>
        <v>9.049125719666035E-3</v>
      </c>
      <c r="EL30" s="14">
        <f>EG30*$AA$11</f>
        <v>17.573249662548378</v>
      </c>
      <c r="EM30" s="14">
        <f>EI30*$M30*$AB$7*$E$11</f>
        <v>10.427262747833892</v>
      </c>
      <c r="EN30" s="14">
        <f>EL30-EM30+$K30</f>
        <v>42.706486914714489</v>
      </c>
      <c r="EO30" s="44">
        <f>EN30/$D30</f>
        <v>42.706486914714489</v>
      </c>
      <c r="EP30" s="43">
        <f>101+10</f>
        <v>111</v>
      </c>
      <c r="EQ30" s="15">
        <f>$I$3+$I$4*EP30+$I$5*($G30/$H30)+$I$6*EP30^2+$I$7*($G30/$H30)^2+$I$8*EP30*($G30/$H30)+$I$9*EP30^3+$I$10*($G30/$H30)^3+$I$11*EP30*($G30/$H30)^2+$I$12*EP30^2*($G30/$H30)</f>
        <v>4.5896914257050003</v>
      </c>
      <c r="ER30" s="15">
        <f>$G$30/(EQ30*1000)</f>
        <v>6.4656848907644685E-3</v>
      </c>
      <c r="ES30" s="15">
        <f>EQ30</f>
        <v>4.5896914257050003</v>
      </c>
      <c r="ET30" s="15">
        <f>($I30/ES30)/1000</f>
        <v>4.941833077727136E-3</v>
      </c>
      <c r="EU30" s="24">
        <f>ER30-ET30+$J30</f>
        <v>9.0738518130373327E-3</v>
      </c>
      <c r="EV30" s="16">
        <f>EU30/$D30</f>
        <v>9.0738518130373327E-3</v>
      </c>
      <c r="EW30" s="14">
        <f>ER30*$AB$11</f>
        <v>18.143786398378975</v>
      </c>
      <c r="EX30" s="14">
        <f>ET30*$M30*$AC$7*$E$11</f>
        <v>10.843197170804149</v>
      </c>
      <c r="EY30" s="14">
        <f>EW30-EX30+$K30</f>
        <v>42.86108922757483</v>
      </c>
      <c r="EZ30" s="44">
        <f>EY30/$D30</f>
        <v>42.86108922757483</v>
      </c>
      <c r="FA30" s="43">
        <f>103+10</f>
        <v>113</v>
      </c>
      <c r="FB30" s="15">
        <f>$I$3+$I$4*FA30+$I$5*($G30/$H30)+$I$6*FA30^2+$I$7*($G30/$H30)^2+$I$8*FA30*($G30/$H30)+$I$9*FA30^3+$I$10*($G30/$H30)^3+$I$11*FA30*($G30/$H30)^2+$I$12*FA30^2*($G30/$H30)</f>
        <v>4.4411385347921932</v>
      </c>
      <c r="FC30" s="15">
        <f>$G$30/(FB30*1000)</f>
        <v>6.6819574016824959E-3</v>
      </c>
      <c r="FD30" s="15">
        <f>FB30</f>
        <v>4.4411385347921932</v>
      </c>
      <c r="FE30" s="15">
        <f>($I30/FD30)/1000</f>
        <v>5.1071338411133099E-3</v>
      </c>
      <c r="FF30" s="24">
        <f>FC30-FE30+$J30</f>
        <v>9.1248235605691872E-3</v>
      </c>
      <c r="FG30" s="16">
        <f>FF30/$D30</f>
        <v>9.1248235605691872E-3</v>
      </c>
      <c r="FH30" s="14">
        <f>FC30*$AC$11</f>
        <v>19.182245672930176</v>
      </c>
      <c r="FI30" s="14">
        <f>FE30*$M30*$AD$7*$E$11</f>
        <v>11.083292327871279</v>
      </c>
      <c r="FJ30" s="14">
        <f>FH30-FI30+$K30</f>
        <v>43.6594533450589</v>
      </c>
      <c r="FK30" s="44">
        <f>FJ30/$D30</f>
        <v>43.6594533450589</v>
      </c>
      <c r="FL30" s="43">
        <f>113+10</f>
        <v>123</v>
      </c>
      <c r="FM30" s="15">
        <f>$I$3+$I$4*FL30+$I$5*($G30/$H30)+$I$6*FL30^2+$I$7*($G30/$H30)^2+$I$8*FL30*($G30/$H30)+$I$9*FL30^3+$I$10*($G30/$H30)^3+$I$11*FL30*($G30/$H30)^2+$I$12*FL30^2*($G30/$H30)</f>
        <v>3.7435346003448799</v>
      </c>
      <c r="FN30" s="15">
        <f>$G$30/(FM30*1000)</f>
        <v>7.9271334908239243E-3</v>
      </c>
      <c r="FO30" s="15">
        <f>FM30</f>
        <v>3.7435346003448799</v>
      </c>
      <c r="FP30" s="15">
        <f>($I30/FO30)/1000</f>
        <v>6.0588431323754868E-3</v>
      </c>
      <c r="FQ30" s="24">
        <f>FN30-FP30+$J30</f>
        <v>9.4182903584484386E-3</v>
      </c>
      <c r="FR30" s="16">
        <f>FQ30/$D30</f>
        <v>9.4182903584484386E-3</v>
      </c>
      <c r="FS30" s="14">
        <f>FN30*$AD$11</f>
        <v>22.507858881183456</v>
      </c>
      <c r="FT30" s="14">
        <f>FP30*$M30*$AE$7*$E$11</f>
        <v>14.509342988837478</v>
      </c>
      <c r="FU30" s="14">
        <f>FS30-FT30+$K30</f>
        <v>43.559015892345982</v>
      </c>
      <c r="FV30" s="44">
        <f>FU30/$D30</f>
        <v>43.559015892345982</v>
      </c>
      <c r="FW30" s="43">
        <f>85+10</f>
        <v>95</v>
      </c>
      <c r="FX30" s="15">
        <f>$I$3+$I$4*FW30+$I$5*($G30/$H30)+$I$6*FW30^2+$I$7*($G30/$H30)^2+$I$8*FW30*($G30/$H30)+$I$9*FW30^3+$I$10*($G30/$H30)^3+$I$11*FW30*($G30/$H30)^2+$I$12*FW30^2*($G30/$H30)</f>
        <v>5.9475842346941983</v>
      </c>
      <c r="FY30" s="15">
        <f>$G$30/(FX30*1000)</f>
        <v>4.9895045338484139E-3</v>
      </c>
      <c r="FZ30" s="15">
        <f>FX30</f>
        <v>5.9475842346941983</v>
      </c>
      <c r="GA30" s="15">
        <f>($I30/FZ30)/1000</f>
        <v>3.8135632904198425E-3</v>
      </c>
      <c r="GB30" s="24">
        <f>FY30-GA30+$J30</f>
        <v>8.7259412434285734E-3</v>
      </c>
      <c r="GC30" s="16">
        <f>GB30/$D30</f>
        <v>8.7259412434285734E-3</v>
      </c>
      <c r="GD30" s="14">
        <f>FY30*$AE$11</f>
        <v>15.632985444466014</v>
      </c>
      <c r="GE30" s="14">
        <f>GA30*$M30*$AF$7*$E$11</f>
        <v>7.632586770115231</v>
      </c>
      <c r="GF30" s="14">
        <f>GD30-GE30+$K30</f>
        <v>43.560898674350788</v>
      </c>
      <c r="GG30" s="44">
        <f>GF30/$D30</f>
        <v>43.560898674350788</v>
      </c>
    </row>
    <row r="31" spans="2:202" ht="14.4" hidden="1" x14ac:dyDescent="0.3">
      <c r="B31" s="30" t="s">
        <v>114</v>
      </c>
      <c r="C31" s="3" t="s">
        <v>156</v>
      </c>
      <c r="D31" s="7"/>
      <c r="E31" s="7"/>
      <c r="F31" s="3"/>
      <c r="G31" s="3"/>
      <c r="H31" s="8"/>
      <c r="I31" s="12"/>
      <c r="J31" s="111"/>
      <c r="K31" s="108"/>
      <c r="L31" s="98"/>
      <c r="M31" s="97"/>
      <c r="N31" s="45"/>
      <c r="O31" s="22"/>
      <c r="P31" s="15"/>
      <c r="Q31" s="22"/>
      <c r="R31" s="15"/>
      <c r="S31" s="24"/>
      <c r="T31" s="16"/>
      <c r="U31" s="14"/>
      <c r="V31" s="14"/>
      <c r="W31" s="14"/>
      <c r="X31" s="44"/>
      <c r="Y31" s="45"/>
      <c r="Z31" s="22"/>
      <c r="AA31" s="15"/>
      <c r="AB31" s="22"/>
      <c r="AC31" s="15"/>
      <c r="AD31" s="24"/>
      <c r="AE31" s="16"/>
      <c r="AF31" s="14"/>
      <c r="AG31" s="14"/>
      <c r="AH31" s="14"/>
      <c r="AI31" s="44"/>
      <c r="AJ31" s="45"/>
      <c r="AK31" s="22"/>
      <c r="AL31" s="15"/>
      <c r="AM31" s="22"/>
      <c r="AN31" s="15"/>
      <c r="AO31" s="24"/>
      <c r="AP31" s="16"/>
      <c r="AQ31" s="14"/>
      <c r="AR31" s="14"/>
      <c r="AS31" s="14"/>
      <c r="AT31" s="44"/>
      <c r="AU31" s="45"/>
      <c r="AV31" s="22"/>
      <c r="AW31" s="178"/>
      <c r="AX31" s="22"/>
      <c r="AY31" s="15"/>
      <c r="AZ31" s="24"/>
      <c r="BA31" s="16"/>
      <c r="BB31" s="14"/>
      <c r="BC31" s="14"/>
      <c r="BD31" s="14"/>
      <c r="BE31" s="44"/>
      <c r="BF31" s="45"/>
      <c r="BG31" s="22"/>
      <c r="BH31" s="15"/>
      <c r="BI31" s="22"/>
      <c r="BJ31" s="15"/>
      <c r="BK31" s="24"/>
      <c r="BL31" s="16"/>
      <c r="BM31" s="14"/>
      <c r="BN31" s="14"/>
      <c r="BO31" s="14"/>
      <c r="BP31" s="44"/>
      <c r="BQ31" s="45"/>
      <c r="BR31" s="22"/>
      <c r="BS31" s="15"/>
      <c r="BT31" s="22"/>
      <c r="BU31" s="15"/>
      <c r="BV31" s="24"/>
      <c r="BW31" s="16"/>
      <c r="BX31" s="14"/>
      <c r="BY31" s="14"/>
      <c r="BZ31" s="14"/>
      <c r="CA31" s="44"/>
      <c r="CB31" s="45"/>
      <c r="CC31" s="22"/>
      <c r="CD31" s="15"/>
      <c r="CE31" s="22"/>
      <c r="CF31" s="15"/>
      <c r="CG31" s="24"/>
      <c r="CH31" s="16"/>
      <c r="CI31" s="14"/>
      <c r="CJ31" s="14"/>
      <c r="CK31" s="14"/>
      <c r="CL31" s="44"/>
      <c r="CM31" s="45"/>
      <c r="CN31" s="22"/>
      <c r="CO31" s="15"/>
      <c r="CP31" s="22"/>
      <c r="CQ31" s="15"/>
      <c r="CR31" s="24"/>
      <c r="CS31" s="16"/>
      <c r="CT31" s="14"/>
      <c r="CU31" s="14"/>
      <c r="CV31" s="14"/>
      <c r="CW31" s="44"/>
      <c r="CX31" s="45"/>
      <c r="CY31" s="22"/>
      <c r="CZ31" s="15"/>
      <c r="DA31" s="22"/>
      <c r="DB31" s="15"/>
      <c r="DC31" s="24"/>
      <c r="DD31" s="16"/>
      <c r="DE31" s="14"/>
      <c r="DF31" s="14"/>
      <c r="DG31" s="14"/>
      <c r="DH31" s="44"/>
      <c r="DI31" s="45"/>
      <c r="DJ31" s="22"/>
      <c r="DK31" s="15"/>
      <c r="DL31" s="22"/>
      <c r="DM31" s="15"/>
      <c r="DN31" s="24"/>
      <c r="DO31" s="16"/>
      <c r="DP31" s="14"/>
      <c r="DQ31" s="14"/>
      <c r="DR31" s="14"/>
      <c r="DS31" s="44"/>
      <c r="DT31" s="45"/>
      <c r="DU31" s="22"/>
      <c r="DV31" s="15"/>
      <c r="DW31" s="22"/>
      <c r="DX31" s="15"/>
      <c r="DY31" s="24"/>
      <c r="DZ31" s="16"/>
      <c r="EA31" s="14"/>
      <c r="EB31" s="14"/>
      <c r="EC31" s="14"/>
      <c r="ED31" s="44"/>
      <c r="EE31" s="45"/>
      <c r="EF31" s="22"/>
      <c r="EG31" s="15"/>
      <c r="EH31" s="22"/>
      <c r="EI31" s="15"/>
      <c r="EJ31" s="24"/>
      <c r="EK31" s="16"/>
      <c r="EL31" s="14"/>
      <c r="EM31" s="14"/>
      <c r="EN31" s="14"/>
      <c r="EO31" s="44"/>
      <c r="EP31" s="45"/>
      <c r="EQ31" s="22"/>
      <c r="ER31" s="15"/>
      <c r="ES31" s="22"/>
      <c r="ET31" s="15"/>
      <c r="EU31" s="24"/>
      <c r="EV31" s="16"/>
      <c r="EW31" s="14"/>
      <c r="EX31" s="14"/>
      <c r="EY31" s="14"/>
      <c r="EZ31" s="44"/>
      <c r="FA31" s="45"/>
      <c r="FB31" s="22"/>
      <c r="FC31" s="15"/>
      <c r="FD31" s="22"/>
      <c r="FE31" s="15"/>
      <c r="FF31" s="24"/>
      <c r="FG31" s="16"/>
      <c r="FH31" s="14"/>
      <c r="FI31" s="14"/>
      <c r="FJ31" s="14"/>
      <c r="FK31" s="44"/>
      <c r="FL31" s="45"/>
      <c r="FM31" s="22"/>
      <c r="FN31" s="15"/>
      <c r="FO31" s="22"/>
      <c r="FP31" s="15"/>
      <c r="FQ31" s="24"/>
      <c r="FR31" s="16"/>
      <c r="FS31" s="14"/>
      <c r="FT31" s="14"/>
      <c r="FU31" s="14"/>
      <c r="FV31" s="44"/>
      <c r="FW31" s="45"/>
      <c r="FX31" s="22"/>
      <c r="FY31" s="15"/>
      <c r="FZ31" s="22"/>
      <c r="GA31" s="15"/>
      <c r="GB31" s="24"/>
      <c r="GC31" s="16"/>
      <c r="GD31" s="14"/>
      <c r="GE31" s="14"/>
      <c r="GF31" s="14"/>
      <c r="GG31" s="44"/>
      <c r="GH31" s="1" t="s">
        <v>0</v>
      </c>
      <c r="GI31" s="61" t="e">
        <f>#REF!</f>
        <v>#REF!</v>
      </c>
      <c r="GJ31" s="62" t="e">
        <f>#REF!</f>
        <v>#REF!</v>
      </c>
      <c r="GK31" s="61" t="e">
        <f>#REF!</f>
        <v>#REF!</v>
      </c>
      <c r="GL31" s="62" t="e">
        <f>#REF!</f>
        <v>#REF!</v>
      </c>
      <c r="GM31" s="61" t="e">
        <f>#REF!</f>
        <v>#REF!</v>
      </c>
      <c r="GN31" s="62" t="e">
        <f>#REF!</f>
        <v>#REF!</v>
      </c>
      <c r="GO31" s="61" t="e">
        <f>#REF!</f>
        <v>#REF!</v>
      </c>
      <c r="GP31" s="62" t="e">
        <f>#REF!</f>
        <v>#REF!</v>
      </c>
      <c r="GQ31" s="61" t="e">
        <f>#REF!</f>
        <v>#REF!</v>
      </c>
      <c r="GR31" s="62" t="e">
        <f>#REF!</f>
        <v>#REF!</v>
      </c>
      <c r="GS31" s="61" t="e">
        <f>#REF!</f>
        <v>#REF!</v>
      </c>
      <c r="GT31" s="62" t="e">
        <f>#REF!</f>
        <v>#REF!</v>
      </c>
    </row>
    <row r="32" spans="2:202" ht="13.8" hidden="1" x14ac:dyDescent="0.25">
      <c r="B32" s="31" t="s">
        <v>129</v>
      </c>
      <c r="C32" s="3" t="s">
        <v>156</v>
      </c>
      <c r="D32" s="3">
        <v>1</v>
      </c>
      <c r="E32" s="3">
        <v>38</v>
      </c>
      <c r="F32" s="3">
        <f>E32-10</f>
        <v>28</v>
      </c>
      <c r="G32" s="11">
        <f>'Cooling Load'!$C$33</f>
        <v>47.738845420205479</v>
      </c>
      <c r="H32" s="14">
        <f>G32*1.15</f>
        <v>54.899672233236295</v>
      </c>
      <c r="I32" s="14">
        <f>'Cooling Load'!$J$33</f>
        <v>70.956270000000004</v>
      </c>
      <c r="J32" s="110">
        <f>'Cooling Load'!$J$20</f>
        <v>3.4399999999999993E-2</v>
      </c>
      <c r="K32" s="109">
        <f>'Cooling Load'!$J$26</f>
        <v>88.367999999999938</v>
      </c>
      <c r="L32" s="98">
        <f>I32/H32</f>
        <v>1.2924716508060139</v>
      </c>
      <c r="M32" s="97">
        <f>(1-(1-L32))*(1-$D$8)</f>
        <v>1.2278480682657131</v>
      </c>
      <c r="N32" s="43">
        <f>69+15</f>
        <v>84</v>
      </c>
      <c r="O32" s="15">
        <f>$H$3+$H$4*N32+$H$5*($G32/$H32)+$H$6*N32^2+$H$7*($G32/$H32)^2+$H$8*N32*($G32/$H32)+$H$9*N32^3+$H$10*($G32/$H32)^3+$H$11*N32*($G32/$H32)^2+$H$12*N32^2*($G32/$H32)</f>
        <v>9.5174240876692355</v>
      </c>
      <c r="P32" s="15">
        <f>$G$21/(O32*1000)</f>
        <v>5.0159418116143299E-3</v>
      </c>
      <c r="Q32" s="15">
        <f>O32</f>
        <v>9.5174240876692355</v>
      </c>
      <c r="R32" s="15">
        <f>($I32/Q32)/1000</f>
        <v>7.4554069826446917E-3</v>
      </c>
      <c r="S32" s="24">
        <f>P32-R32+$J32</f>
        <v>3.1960534828969628E-2</v>
      </c>
      <c r="T32" s="16">
        <f>S32/$D32</f>
        <v>3.1960534828969628E-2</v>
      </c>
      <c r="U32" s="14">
        <f>P32*$Q$10</f>
        <v>14.492622982689506</v>
      </c>
      <c r="V32" s="14">
        <f>R32*$M32*$Q$7*$D$11</f>
        <v>32.017301609846839</v>
      </c>
      <c r="W32" s="14">
        <f>U32-V32+$K32</f>
        <v>70.84332137284261</v>
      </c>
      <c r="X32" s="44">
        <f>W32/$D32</f>
        <v>70.84332137284261</v>
      </c>
      <c r="Y32" s="43">
        <f>96+15</f>
        <v>111</v>
      </c>
      <c r="Z32" s="15">
        <f>$H$3+$H$4*Y32+$H$5*($G32/$H32)+$H$6*Y32^2+$H$7*($G32/$H32)^2+$H$8*Y32*($G32/$H32)+$H$9*Y32^3+$H$10*($G32/$H32)^3+$H$11*Y32*($G32/$H32)^2+$H$12*Y32^2*($G32/$H32)</f>
        <v>6.4425744504920139</v>
      </c>
      <c r="AA32" s="15">
        <f>$G$21/(Z32*1000)</f>
        <v>7.4099020177500162E-3</v>
      </c>
      <c r="AB32" s="15">
        <f>Z32</f>
        <v>6.4425744504920139</v>
      </c>
      <c r="AC32" s="15">
        <f>($I32/AB32)/1000</f>
        <v>1.1013651537171003E-2</v>
      </c>
      <c r="AD32" s="24">
        <f>AA32-AC32+$J32</f>
        <v>3.0796250480579004E-2</v>
      </c>
      <c r="AE32" s="16">
        <f>AD32/$D32</f>
        <v>3.0796250480579004E-2</v>
      </c>
      <c r="AF32" s="14">
        <f>AA32*$R$10</f>
        <v>21.566182055926518</v>
      </c>
      <c r="AG32" s="14">
        <f>AC32*$M32*$R$7*$D$11</f>
        <v>47.644305401597258</v>
      </c>
      <c r="AH32" s="14">
        <f>AF32-AG32+$K32</f>
        <v>62.289876654329198</v>
      </c>
      <c r="AI32" s="44">
        <f>AH32/$D32</f>
        <v>62.289876654329198</v>
      </c>
      <c r="AJ32" s="43">
        <f>89+15</f>
        <v>104</v>
      </c>
      <c r="AK32" s="15">
        <f>$H$3+$H$4*AJ32+$H$5*($G32/$H32)+$H$6*AJ32^2+$H$7*($G32/$H32)^2+$H$8*AJ32*($G32/$H32)+$H$9*AJ32^3+$H$10*($G32/$H32)^3+$H$11*AJ32*($G32/$H32)^2+$H$12*AJ32^2*($G32/$H32)</f>
        <v>7.1731404854674139</v>
      </c>
      <c r="AL32" s="15">
        <f>$G$21/(AK32*1000)</f>
        <v>6.6552224255084745E-3</v>
      </c>
      <c r="AM32" s="15">
        <f>AK32</f>
        <v>7.1731404854674139</v>
      </c>
      <c r="AN32" s="15">
        <f>($I32/AM32)/1000</f>
        <v>9.8919392619948639E-3</v>
      </c>
      <c r="AO32" s="24">
        <f>AL32-AN32+$J32</f>
        <v>3.1163283163513605E-2</v>
      </c>
      <c r="AP32" s="16">
        <f>AO32/$D32</f>
        <v>3.1163283163513605E-2</v>
      </c>
      <c r="AQ32" s="14">
        <f>AL32*$Q$10</f>
        <v>19.229016823022661</v>
      </c>
      <c r="AR32" s="14">
        <f>AN32*$M32*$S$7*$D$11</f>
        <v>43.503553581386953</v>
      </c>
      <c r="AS32" s="14">
        <f>AQ32-AR32+$K32</f>
        <v>64.093463241635646</v>
      </c>
      <c r="AT32" s="44">
        <f>AS32/$D32</f>
        <v>64.093463241635646</v>
      </c>
      <c r="AU32" s="43">
        <f>88+15</f>
        <v>103</v>
      </c>
      <c r="AV32" s="15">
        <f>$H$3+$H$4*AU32+$H$5*($G32/$H32)+$H$6*AU32^2+$H$7*($G32/$H32)^2+$H$8*AU32*($G32/$H32)+$H$9*AU32^3+$H$10*($G32/$H32)^3+$H$11*AU32*($G32/$H32)^2+$H$12*AU32^2*($G32/$H32)</f>
        <v>7.2810909178233514</v>
      </c>
      <c r="AW32" s="178">
        <f>$G$21/(AV32*1000)</f>
        <v>6.5565512035216812E-3</v>
      </c>
      <c r="AX32" s="15">
        <f>AV32</f>
        <v>7.2810909178233514</v>
      </c>
      <c r="AY32" s="15">
        <f>($I32/AX32)/1000</f>
        <v>9.7452800412512978E-3</v>
      </c>
      <c r="AZ32" s="24">
        <f>AW32-AY32+$J32</f>
        <v>3.1211271162270376E-2</v>
      </c>
      <c r="BA32" s="16">
        <f>AZ32/$D32</f>
        <v>3.1211271162270376E-2</v>
      </c>
      <c r="BB32" s="14">
        <f>AW32*$S$10</f>
        <v>19.399917517313447</v>
      </c>
      <c r="BC32" s="14">
        <f>AY32*$M32*$T$7*$D$11</f>
        <v>43.886989946532942</v>
      </c>
      <c r="BD32" s="14">
        <f>BB32-BC32+$K32</f>
        <v>63.880927570780443</v>
      </c>
      <c r="BE32" s="44">
        <f>BD32/$D32</f>
        <v>63.880927570780443</v>
      </c>
      <c r="BF32" s="43">
        <f>83+15</f>
        <v>98</v>
      </c>
      <c r="BG32" s="15">
        <f>$H$3+$H$4*BF32+$H$5*($G32/$H32)+$H$6*BF32^2+$H$7*($G32/$H32)^2+$H$8*BF32*($G32/$H32)+$H$9*BF32^3+$H$10*($G32/$H32)^3+$H$11*BF32*($G32/$H32)^2+$H$12*BF32^2*($G32/$H32)</f>
        <v>7.8348543036092462</v>
      </c>
      <c r="BH32" s="15">
        <f>$G$21/(BG32*1000)</f>
        <v>6.0931376092359301E-3</v>
      </c>
      <c r="BI32" s="15">
        <f>BG32</f>
        <v>7.8348543036092462</v>
      </c>
      <c r="BJ32" s="15">
        <f>($I32/BI32)/1000</f>
        <v>9.0564887680569753E-3</v>
      </c>
      <c r="BK32" s="24">
        <f>BH32-BJ32+$J32</f>
        <v>3.143664884117895E-2</v>
      </c>
      <c r="BL32" s="16">
        <f>BK32/$D32</f>
        <v>3.143664884117895E-2</v>
      </c>
      <c r="BM32" s="14">
        <f>BH32*$T$10</f>
        <v>18.461355769661139</v>
      </c>
      <c r="BN32" s="14">
        <f>BJ32*$M32*$U$7*$D$11</f>
        <v>39.942884818449983</v>
      </c>
      <c r="BO32" s="14">
        <f>BM32-BN32+$K32</f>
        <v>66.886470951211095</v>
      </c>
      <c r="BP32" s="44">
        <f>BO32/$D32</f>
        <v>66.886470951211095</v>
      </c>
      <c r="BQ32" s="43">
        <f>84+15</f>
        <v>99</v>
      </c>
      <c r="BR32" s="15">
        <f>$H$3+$H$4*BQ32+$H$5*($G32/$H32)+$H$6*BQ32^2+$H$7*($G32/$H32)^2+$H$8*BQ32*($G32/$H32)+$H$9*BQ32^3+$H$10*($G32/$H32)^3+$H$11*BQ32*($G32/$H32)^2+$H$12*BQ32^2*($G32/$H32)</f>
        <v>7.7222041420068663</v>
      </c>
      <c r="BS32" s="15">
        <f>$G$21/(BR32*1000)</f>
        <v>6.1820232335633362E-3</v>
      </c>
      <c r="BT32" s="15">
        <f>BR32</f>
        <v>7.7222041420068663</v>
      </c>
      <c r="BU32" s="15">
        <f>($I32/BT32)/1000</f>
        <v>9.1886032401054495E-3</v>
      </c>
      <c r="BV32" s="24">
        <f>BS32-BU32+$J32</f>
        <v>3.1393419993457877E-2</v>
      </c>
      <c r="BW32" s="16">
        <f>BV32/$D32</f>
        <v>3.1393419993457877E-2</v>
      </c>
      <c r="BX32" s="14">
        <f>BS32*$U$10</f>
        <v>18.343885954352267</v>
      </c>
      <c r="BY32" s="14">
        <f>BU32*$M32*$V$7*$D$11</f>
        <v>41.926527581894383</v>
      </c>
      <c r="BZ32" s="14">
        <f>BX32-BY32+$K32</f>
        <v>64.785358372457821</v>
      </c>
      <c r="CA32" s="44">
        <f>BZ32/$D32</f>
        <v>64.785358372457821</v>
      </c>
      <c r="CB32" s="43">
        <f>83+15</f>
        <v>98</v>
      </c>
      <c r="CC32" s="15">
        <f>$H$3+$H$4*CB32+$H$5*($G32/$H32)+$H$6*CB32^2+$H$7*($G32/$H32)^2+$H$8*CB32*($G32/$H32)+$H$9*CB32^3+$H$10*($G32/$H32)^3+$H$11*CB32*($G32/$H32)^2+$H$12*CB32^2*($G32/$H32)</f>
        <v>7.8348543036092462</v>
      </c>
      <c r="CD32" s="15">
        <f>$G$21/(CC32*1000)</f>
        <v>6.0931376092359301E-3</v>
      </c>
      <c r="CE32" s="15">
        <f>CC32</f>
        <v>7.8348543036092462</v>
      </c>
      <c r="CF32" s="15">
        <f>($I32/CE32)/1000</f>
        <v>9.0564887680569753E-3</v>
      </c>
      <c r="CG32" s="24">
        <f>CD32-CF32+$J32</f>
        <v>3.143664884117895E-2</v>
      </c>
      <c r="CH32" s="16">
        <f>CG32/$D32</f>
        <v>3.143664884117895E-2</v>
      </c>
      <c r="CI32" s="14">
        <f>CD32*$V$10</f>
        <v>18.705163806359259</v>
      </c>
      <c r="CJ32" s="14">
        <f>CF32*$M32*$W$7*$D$11</f>
        <v>41.75667423200872</v>
      </c>
      <c r="CK32" s="14">
        <f>CI32-CJ32+$K32</f>
        <v>65.31648957435047</v>
      </c>
      <c r="CL32" s="44">
        <f>CK32/$D32</f>
        <v>65.31648957435047</v>
      </c>
      <c r="CM32" s="43">
        <f>89+15</f>
        <v>104</v>
      </c>
      <c r="CN32" s="15">
        <f>$H$3+$H$4*CM32+$H$5*($G32/$H32)+$H$6*CM32^2+$H$7*($G32/$H32)^2+$H$8*CM32*($G32/$H32)+$H$9*CM32^3+$H$10*($G32/$H32)^3+$H$11*CM32*($G32/$H32)^2+$H$12*CM32^2*($G32/$H32)</f>
        <v>7.1731404854674139</v>
      </c>
      <c r="CO32" s="15">
        <f>$G$21/(CN32*1000)</f>
        <v>6.6552224255084745E-3</v>
      </c>
      <c r="CP32" s="15">
        <f>CN32</f>
        <v>7.1731404854674139</v>
      </c>
      <c r="CQ32" s="15">
        <f>($I32/CP32)/1000</f>
        <v>9.8919392619948639E-3</v>
      </c>
      <c r="CR32" s="24">
        <f>CO32-CQ32+$J32</f>
        <v>3.1163283163513605E-2</v>
      </c>
      <c r="CS32" s="16">
        <f>CR32/$D32</f>
        <v>3.1163283163513605E-2</v>
      </c>
      <c r="CT32" s="14">
        <f>CO32*$W$10</f>
        <v>20.644756121350145</v>
      </c>
      <c r="CU32" s="14">
        <f>CQ32*$M32*$X$7*$D$11</f>
        <v>45.408745995647116</v>
      </c>
      <c r="CV32" s="14">
        <f>CT32-CU32+$K32</f>
        <v>63.60401012570297</v>
      </c>
      <c r="CW32" s="44">
        <f>CV32/$D32</f>
        <v>63.60401012570297</v>
      </c>
      <c r="CX32" s="43">
        <f>94+15</f>
        <v>109</v>
      </c>
      <c r="CY32" s="15">
        <f>$H$3+$H$4*CX32+$H$5*($G32/$H32)+$H$6*CX32^2+$H$7*($G32/$H32)^2+$H$8*CX32*($G32/$H32)+$H$9*CX32^3+$H$10*($G32/$H32)^3+$H$11*CX32*($G32/$H32)^2+$H$12*CX32^2*($G32/$H32)</f>
        <v>6.646915747161656</v>
      </c>
      <c r="CZ32" s="15">
        <f>$G$21/(CY32*1000)</f>
        <v>7.1821047890656296E-3</v>
      </c>
      <c r="DA32" s="15">
        <f>CY32</f>
        <v>6.646915747161656</v>
      </c>
      <c r="DB32" s="15">
        <f>($I32/DA32)/1000</f>
        <v>1.0675066857933247E-2</v>
      </c>
      <c r="DC32" s="24">
        <f>CZ32-DB32+$J32</f>
        <v>3.0907037931132374E-2</v>
      </c>
      <c r="DD32" s="16">
        <f>DC32/$D32</f>
        <v>3.0907037931132374E-2</v>
      </c>
      <c r="DE32" s="14">
        <f>CZ32*$X$10</f>
        <v>22.181501379725635</v>
      </c>
      <c r="DF32" s="14">
        <f>DB32*$M32*$Y$7*$D$11</f>
        <v>48.510952228663861</v>
      </c>
      <c r="DG32" s="14">
        <f>DE32-DF32+$K32</f>
        <v>62.038549151061716</v>
      </c>
      <c r="DH32" s="44">
        <f>DG32/$D32</f>
        <v>62.038549151061716</v>
      </c>
      <c r="DI32" s="43">
        <f>100+15</f>
        <v>115</v>
      </c>
      <c r="DJ32" s="15">
        <f>$H$3+$H$4*DI32+$H$5*($G32/$H32)+$H$6*DI32^2+$H$7*($G32/$H32)^2+$H$8*DI32*($G32/$H32)+$H$9*DI32^3+$H$10*($G32/$H32)^3+$H$11*DI32*($G32/$H32)^2+$H$12*DI32^2*($G32/$H32)</f>
        <v>6.0440452715600719</v>
      </c>
      <c r="DK32" s="15">
        <f>$G$21/(DJ32*1000)</f>
        <v>7.8984923631922541E-3</v>
      </c>
      <c r="DL32" s="15">
        <f>DJ32</f>
        <v>6.0440452715600719</v>
      </c>
      <c r="DM32" s="15">
        <f>($I32/DL32)/1000</f>
        <v>1.1739864083063854E-2</v>
      </c>
      <c r="DN32" s="24">
        <f>DK32-DM32+$J32</f>
        <v>3.0558628280128394E-2</v>
      </c>
      <c r="DO32" s="16">
        <f>DN32/$D32</f>
        <v>3.0558628280128394E-2</v>
      </c>
      <c r="DP32" s="14">
        <f>DK32*$Y$10</f>
        <v>24.148743136338016</v>
      </c>
      <c r="DQ32" s="14">
        <f>DM32*$M32*$Z$7*$D$11</f>
        <v>52.777722742491825</v>
      </c>
      <c r="DR32" s="14">
        <f>DP32-DQ32+$K32</f>
        <v>59.739020393846133</v>
      </c>
      <c r="DS32" s="44">
        <f>DR32/$D32</f>
        <v>59.739020393846133</v>
      </c>
      <c r="DT32" s="43">
        <f>104+15</f>
        <v>119</v>
      </c>
      <c r="DU32" s="15">
        <f>$H$3+$H$4*DT32+$H$5*($G32/$H32)+$H$6*DT32^2+$H$7*($G32/$H32)^2+$H$8*DT32*($G32/$H32)+$H$9*DT32^3+$H$10*($G32/$H32)^3+$H$11*DT32*($G32/$H32)^2+$H$12*DT32^2*($G32/$H32)</f>
        <v>5.6585848385945301</v>
      </c>
      <c r="DV32" s="15">
        <f>$G$21/(DU32*1000)</f>
        <v>8.4365343600755795E-3</v>
      </c>
      <c r="DW32" s="15">
        <f>DU32</f>
        <v>5.6585848385945301</v>
      </c>
      <c r="DX32" s="15">
        <f>($I32/DW32)/1000</f>
        <v>1.2539578715165822E-2</v>
      </c>
      <c r="DY32" s="24">
        <f>DV32-DX32+$J32</f>
        <v>3.0296955644909751E-2</v>
      </c>
      <c r="DZ32" s="16">
        <f>DY32/$D32</f>
        <v>3.0296955644909751E-2</v>
      </c>
      <c r="EA32" s="14">
        <f>DV32*$Z$10</f>
        <v>25.517186725122254</v>
      </c>
      <c r="EB32" s="14">
        <f>DX32*$M32*$AA$7*$D$11</f>
        <v>54.3532018948708</v>
      </c>
      <c r="EC32" s="14">
        <f>EA32-EB32+$K32</f>
        <v>59.531984830251389</v>
      </c>
      <c r="ED32" s="44">
        <f>EC32/$D32</f>
        <v>59.531984830251389</v>
      </c>
      <c r="EE32" s="43">
        <f>100+15</f>
        <v>115</v>
      </c>
      <c r="EF32" s="15">
        <f>$H$3+$H$4*EE32+$H$5*($G32/$H32)+$H$6*EE32^2+$H$7*($G32/$H32)^2+$H$8*EE32*($G32/$H32)+$H$9*EE32^3+$H$10*($G32/$H32)^3+$H$11*EE32*($G32/$H32)^2+$H$12*EE32^2*($G32/$H32)</f>
        <v>6.0440452715600719</v>
      </c>
      <c r="EG32" s="15">
        <f>$G$21/(EF32*1000)</f>
        <v>7.8984923631922541E-3</v>
      </c>
      <c r="EH32" s="15">
        <f>EF32</f>
        <v>6.0440452715600719</v>
      </c>
      <c r="EI32" s="15">
        <f>($I32/EH32)/1000</f>
        <v>1.1739864083063854E-2</v>
      </c>
      <c r="EJ32" s="24">
        <f>EG32-EI32+$J32</f>
        <v>3.0558628280128394E-2</v>
      </c>
      <c r="EK32" s="16">
        <f>EJ32/$D32</f>
        <v>3.0558628280128394E-2</v>
      </c>
      <c r="EL32" s="14">
        <f>EG32*$AA$10</f>
        <v>23.033902450559889</v>
      </c>
      <c r="EM32" s="14">
        <f>EI32*$M32*$AB$7*$D$11</f>
        <v>51.686416203607294</v>
      </c>
      <c r="EN32" s="14">
        <f>EL32-EM32+$K32</f>
        <v>59.715486246952537</v>
      </c>
      <c r="EO32" s="44">
        <f>EN32/$D32</f>
        <v>59.715486246952537</v>
      </c>
      <c r="EP32" s="43">
        <f>101+15</f>
        <v>116</v>
      </c>
      <c r="EQ32" s="15">
        <f>$H$3+$H$4*EP32+$H$5*($G32/$H32)+$H$6*EP32^2+$H$7*($G32/$H32)^2+$H$8*EP32*($G32/$H32)+$H$9*EP32^3+$H$10*($G32/$H32)^3+$H$11*EP32*($G32/$H32)^2+$H$12*EP32^2*($G32/$H32)</f>
        <v>5.9464769593176214</v>
      </c>
      <c r="ER32" s="15">
        <f>$G$21/(EQ32*1000)</f>
        <v>8.0280888577904577E-3</v>
      </c>
      <c r="ES32" s="15">
        <f>EQ32</f>
        <v>5.9464769593176214</v>
      </c>
      <c r="ET32" s="15">
        <f>($I32/ES32)/1000</f>
        <v>1.193248884767267E-2</v>
      </c>
      <c r="EU32" s="24">
        <f>ER32-ET32+$J32</f>
        <v>3.0495600010117779E-2</v>
      </c>
      <c r="EV32" s="16">
        <f>EU32/$D32</f>
        <v>3.0495600010117779E-2</v>
      </c>
      <c r="EW32" s="14">
        <f>ER32*$AB$10</f>
        <v>23.779715578754836</v>
      </c>
      <c r="EX32" s="14">
        <f>ET32*$M32*$AC$7*$D$11</f>
        <v>53.743598935242339</v>
      </c>
      <c r="EY32" s="14">
        <f>EW32-EX32+$K32</f>
        <v>58.404116643512438</v>
      </c>
      <c r="EZ32" s="44">
        <f>EY32/$D32</f>
        <v>58.404116643512438</v>
      </c>
      <c r="FA32" s="43">
        <f>108+15</f>
        <v>123</v>
      </c>
      <c r="FB32" s="15">
        <f>$H$3+$H$4*FA32+$H$5*($G32/$H32)+$H$6*FA32^2+$H$7*($G32/$H32)^2+$H$8*FA32*($G32/$H32)+$H$9*FA32^3+$H$10*($G32/$H32)^3+$H$11*FA32*($G32/$H32)^2+$H$12*FA32^2*($G32/$H32)</f>
        <v>5.2856301837033213</v>
      </c>
      <c r="FC32" s="15">
        <f>$G$21/(FB32*1000)</f>
        <v>9.0318171648470797E-3</v>
      </c>
      <c r="FD32" s="15">
        <f>FB32</f>
        <v>5.2856301837033213</v>
      </c>
      <c r="FE32" s="15">
        <f>($I32/FD32)/1000</f>
        <v>1.3424372786952197E-2</v>
      </c>
      <c r="FF32" s="24">
        <f>FC32-FE32+$J32</f>
        <v>3.0007444377894876E-2</v>
      </c>
      <c r="FG32" s="16">
        <f>FF32/$D32</f>
        <v>3.0007444377894876E-2</v>
      </c>
      <c r="FH32" s="14">
        <f>FC32*$AC$10</f>
        <v>27.368562009354292</v>
      </c>
      <c r="FI32" s="14">
        <f>FE32*$M32*$AD$7*$D$11</f>
        <v>59.801486279395618</v>
      </c>
      <c r="FJ32" s="14">
        <f>FH32-FI32+$K32</f>
        <v>55.935075729958612</v>
      </c>
      <c r="FK32" s="44">
        <f>FJ32/$D32</f>
        <v>55.935075729958612</v>
      </c>
      <c r="FL32" s="43">
        <f>111+15</f>
        <v>126</v>
      </c>
      <c r="FM32" s="15">
        <f>$H$3+$H$4*FL32+$H$5*($G32/$H32)+$H$6*FL32^2+$H$7*($G32/$H32)^2+$H$8*FL32*($G32/$H32)+$H$9*FL32^3+$H$10*($G32/$H32)^3+$H$11*FL32*($G32/$H32)^2+$H$12*FL32^2*($G32/$H32)</f>
        <v>5.0137824490236369</v>
      </c>
      <c r="FN32" s="15">
        <f>$G$21/(FM32*1000)</f>
        <v>9.5215231026830726E-3</v>
      </c>
      <c r="FO32" s="15">
        <f>FM32</f>
        <v>5.0137824490236369</v>
      </c>
      <c r="FP32" s="15">
        <f>($I32/FO32)/1000</f>
        <v>1.415224348511925E-2</v>
      </c>
      <c r="FQ32" s="24">
        <f>FN32-FP32+$J32</f>
        <v>2.9769279617563815E-2</v>
      </c>
      <c r="FR32" s="16">
        <f>FQ32/$D32</f>
        <v>2.9769279617563815E-2</v>
      </c>
      <c r="FS32" s="14">
        <f>FN32*$AD$10</f>
        <v>28.536817199970073</v>
      </c>
      <c r="FT32" s="14">
        <f>FP32*$M32*$AE$7*$D$11</f>
        <v>69.568038116205685</v>
      </c>
      <c r="FU32" s="14">
        <f>FS32-FT32+$K32</f>
        <v>47.336779083764327</v>
      </c>
      <c r="FV32" s="44">
        <f>FU32/$D32</f>
        <v>47.336779083764327</v>
      </c>
      <c r="FW32" s="43">
        <f>89+15</f>
        <v>104</v>
      </c>
      <c r="FX32" s="15">
        <f>$H$3+$H$4*FW32+$H$5*($G32/$H32)+$H$6*FW32^2+$H$7*($G32/$H32)^2+$H$8*FW32*($G32/$H32)+$H$9*FW32^3+$H$10*($G32/$H32)^3+$H$11*FW32*($G32/$H32)^2+$H$12*FW32^2*($G32/$H32)</f>
        <v>7.1731404854674139</v>
      </c>
      <c r="FY32" s="15">
        <f>$G$21/(FX32*1000)</f>
        <v>6.6552224255084745E-3</v>
      </c>
      <c r="FZ32" s="15">
        <f>FX32</f>
        <v>7.1731404854674139</v>
      </c>
      <c r="GA32" s="15">
        <f>($I32/FZ32)/1000</f>
        <v>9.8919392619948639E-3</v>
      </c>
      <c r="GB32" s="24">
        <f>FY32-GA32+$J32</f>
        <v>3.1163283163513605E-2</v>
      </c>
      <c r="GC32" s="16">
        <f>GB32/$D32</f>
        <v>3.1163283163513605E-2</v>
      </c>
      <c r="GD32" s="14">
        <f>FY32*$AE$10</f>
        <v>22.01041202738871</v>
      </c>
      <c r="GE32" s="14">
        <f>GA32*$M32*$AF$7*$D$11</f>
        <v>40.639528283778397</v>
      </c>
      <c r="GF32" s="14">
        <f>GD32-GE32+$K32</f>
        <v>69.738883743610245</v>
      </c>
      <c r="GG32" s="44">
        <f>GF32/$D32</f>
        <v>69.738883743610245</v>
      </c>
    </row>
    <row r="33" spans="2:202" ht="13.8" hidden="1" x14ac:dyDescent="0.25">
      <c r="B33" s="31" t="s">
        <v>130</v>
      </c>
      <c r="C33" s="3" t="s">
        <v>156</v>
      </c>
      <c r="D33" s="3">
        <v>1</v>
      </c>
      <c r="E33" s="3">
        <v>0</v>
      </c>
      <c r="F33" s="3">
        <f>E33-10</f>
        <v>-10</v>
      </c>
      <c r="G33" s="11">
        <f>'Cooling Load'!$C$33</f>
        <v>47.738845420205479</v>
      </c>
      <c r="H33" s="14">
        <f>G33*1.15</f>
        <v>54.899672233236295</v>
      </c>
      <c r="I33" s="14">
        <f>'Cooling Load'!$J$33</f>
        <v>70.956270000000004</v>
      </c>
      <c r="J33" s="110">
        <f>'Cooling Load'!$J$20</f>
        <v>3.4399999999999993E-2</v>
      </c>
      <c r="K33" s="109">
        <f>'Cooling Load'!$J$26</f>
        <v>88.367999999999938</v>
      </c>
      <c r="L33" s="98">
        <f>I33/H33</f>
        <v>1.2924716508060139</v>
      </c>
      <c r="M33" s="97">
        <f>(1-(1-L33))*(1-$E$8)</f>
        <v>1.1632244857254126</v>
      </c>
      <c r="N33" s="43">
        <f>69+10</f>
        <v>79</v>
      </c>
      <c r="O33" s="15">
        <f>$I$3+$I$4*N33+$I$5*($G33/$H33)+$I$6*N33^2+$I$7*($G33/$H33)^2+$I$8*N33*($G33/$H33)+$I$9*N33^3+$I$10*($G33/$H33)^3+$I$11*N33*($G33/$H33)^2+$I$12*N33^2*($G33/$H33)</f>
        <v>7.738621286416917</v>
      </c>
      <c r="P33" s="15">
        <f>$G$22/(O33*1000)</f>
        <v>6.1689083434019795E-3</v>
      </c>
      <c r="Q33" s="15">
        <f>O33</f>
        <v>7.738621286416917</v>
      </c>
      <c r="R33" s="15">
        <f>($I33/Q33)/1000</f>
        <v>9.1691100228079095E-3</v>
      </c>
      <c r="S33" s="24">
        <f>P33-R33+$J33</f>
        <v>3.1399798320594065E-2</v>
      </c>
      <c r="T33" s="16">
        <f>S33/$D33</f>
        <v>3.1399798320594065E-2</v>
      </c>
      <c r="U33" s="14">
        <f>P33*$Q$11</f>
        <v>16.885803320296624</v>
      </c>
      <c r="V33" s="14">
        <f>R33*$M33*$Q$7*$E$11</f>
        <v>37.304348458953697</v>
      </c>
      <c r="W33" s="14">
        <f>U33-V33+$K33</f>
        <v>67.949454861342872</v>
      </c>
      <c r="X33" s="44">
        <f>W33/$D33</f>
        <v>67.949454861342872</v>
      </c>
      <c r="Y33" s="43">
        <f>96+10</f>
        <v>106</v>
      </c>
      <c r="Z33" s="15">
        <f>$I$3+$I$4*Y33+$I$5*($G33/$H33)+$I$6*Y33^2+$I$7*($G33/$H33)^2+$I$8*Y33*($G33/$H33)+$I$9*Y33^3+$I$10*($G33/$H33)^3+$I$11*Y33*($G33/$H33)^2+$I$12*Y33^2*($G33/$H33)</f>
        <v>4.9787525693054056</v>
      </c>
      <c r="AA33" s="15">
        <f>$G$22/(Z33*1000)</f>
        <v>9.5885153471014142E-3</v>
      </c>
      <c r="AB33" s="15">
        <f>Z33</f>
        <v>4.9787525693054056</v>
      </c>
      <c r="AC33" s="15">
        <f>($I33/AB33)/1000</f>
        <v>1.4251816898364009E-2</v>
      </c>
      <c r="AD33" s="24">
        <f>AA33-AC33+$J33</f>
        <v>2.97366984487374E-2</v>
      </c>
      <c r="AE33" s="16">
        <f>AD33/$D33</f>
        <v>2.97366984487374E-2</v>
      </c>
      <c r="AF33" s="14">
        <f>AA33*$R$11</f>
        <v>26.438150693300233</v>
      </c>
      <c r="AG33" s="14">
        <f>AC33*$M33*$R$7*$E$11</f>
        <v>58.407525384813923</v>
      </c>
      <c r="AH33" s="14">
        <f>AF33-AG33+$K33</f>
        <v>56.398625308486245</v>
      </c>
      <c r="AI33" s="44">
        <f>AH33/$D33</f>
        <v>56.398625308486245</v>
      </c>
      <c r="AJ33" s="43">
        <f>89+10</f>
        <v>99</v>
      </c>
      <c r="AK33" s="15">
        <f>$I$3+$I$4*AJ33+$I$5*($G33/$H33)+$I$6*AJ33^2+$I$7*($G33/$H33)^2+$I$8*AJ33*($G33/$H33)+$I$9*AJ33^3+$I$10*($G33/$H33)^3+$I$11*AJ33*($G33/$H33)^2+$I$12*AJ33^2*($G33/$H33)</f>
        <v>5.5747757160485589</v>
      </c>
      <c r="AL33" s="15">
        <f>$G$22/(AK33*1000)</f>
        <v>8.5633661068688013E-3</v>
      </c>
      <c r="AM33" s="15">
        <f>AK33</f>
        <v>5.5747757160485589</v>
      </c>
      <c r="AN33" s="15">
        <f>($I33/AM33)/1000</f>
        <v>1.2728094117891135E-2</v>
      </c>
      <c r="AO33" s="24">
        <f>AL33-AN33+$J33</f>
        <v>3.0235271988977658E-2</v>
      </c>
      <c r="AP33" s="16">
        <f>AO33/$D33</f>
        <v>3.0235271988977658E-2</v>
      </c>
      <c r="AQ33" s="14">
        <f>AL33*$Q$11</f>
        <v>23.440016902656449</v>
      </c>
      <c r="AR33" s="14">
        <f>AN33*$M33*$S$7*$E$11</f>
        <v>53.030482039644781</v>
      </c>
      <c r="AS33" s="14">
        <f>AQ33-AR33+$K33</f>
        <v>58.77753486301161</v>
      </c>
      <c r="AT33" s="44">
        <f>AS33/$D33</f>
        <v>58.77753486301161</v>
      </c>
      <c r="AU33" s="43">
        <f>88+10</f>
        <v>98</v>
      </c>
      <c r="AV33" s="15">
        <f>$I$3+$I$4*AU33+$I$5*($G33/$H33)+$I$6*AU33^2+$I$7*($G33/$H33)^2+$I$8*AU33*($G33/$H33)+$I$9*AU33^3+$I$10*($G33/$H33)^3+$I$11*AU33*($G33/$H33)^2+$I$12*AU33^2*($G33/$H33)</f>
        <v>5.6655989652080319</v>
      </c>
      <c r="AW33" s="178">
        <f>$G$22/(AV33*1000)</f>
        <v>8.4260897591526916E-3</v>
      </c>
      <c r="AX33" s="15">
        <f>AV33</f>
        <v>5.6655989652080319</v>
      </c>
      <c r="AY33" s="15">
        <f>($I33/AX33)/1000</f>
        <v>1.2524054461979486E-2</v>
      </c>
      <c r="AZ33" s="24">
        <f>AW33-AY33+$J33</f>
        <v>3.0302035297173201E-2</v>
      </c>
      <c r="BA33" s="16">
        <f>AZ33/$D33</f>
        <v>3.0302035297173201E-2</v>
      </c>
      <c r="BB33" s="14">
        <f>AW33*$S$11</f>
        <v>23.619429936679047</v>
      </c>
      <c r="BC33" s="14">
        <f>AY33*$M33*$T$7*$E$11</f>
        <v>53.432478939602298</v>
      </c>
      <c r="BD33" s="14">
        <f>BB33-BC33+$K33</f>
        <v>58.554950997076688</v>
      </c>
      <c r="BE33" s="44">
        <f>BD33/$D33</f>
        <v>58.554950997076688</v>
      </c>
      <c r="BF33" s="43">
        <f>83+10</f>
        <v>93</v>
      </c>
      <c r="BG33" s="15">
        <f>$I$3+$I$4*BF33+$I$5*($G33/$H33)+$I$6*BF33^2+$I$7*($G33/$H33)^2+$I$8*BF33*($G33/$H33)+$I$9*BF33^3+$I$10*($G33/$H33)^3+$I$11*BF33*($G33/$H33)^2+$I$12*BF33^2*($G33/$H33)</f>
        <v>6.1439585132971359</v>
      </c>
      <c r="BH33" s="15">
        <f>$G$22/(BG33*1000)</f>
        <v>7.7700468381884597E-3</v>
      </c>
      <c r="BI33" s="15">
        <f>BG33</f>
        <v>6.1439585132971359</v>
      </c>
      <c r="BJ33" s="15">
        <f>($I33/BI33)/1000</f>
        <v>1.1548950053362511E-2</v>
      </c>
      <c r="BK33" s="24">
        <f>BH33-BJ33+$J33</f>
        <v>3.0621096784825941E-2</v>
      </c>
      <c r="BL33" s="16">
        <f>BK33/$D33</f>
        <v>3.0621096784825941E-2</v>
      </c>
      <c r="BM33" s="14">
        <f>BH33*$T$11</f>
        <v>22.303095608887975</v>
      </c>
      <c r="BN33" s="14">
        <f>BJ33*$M33*$U$7*$E$11</f>
        <v>48.254851383379297</v>
      </c>
      <c r="BO33" s="14">
        <f>BM33-BN33+$K33</f>
        <v>62.416244225508621</v>
      </c>
      <c r="BP33" s="44">
        <f>BO33/$D33</f>
        <v>62.416244225508621</v>
      </c>
      <c r="BQ33" s="43">
        <f>84+10</f>
        <v>94</v>
      </c>
      <c r="BR33" s="15">
        <f>$I$3+$I$4*BQ33+$I$5*($G33/$H33)+$I$6*BQ33^2+$I$7*($G33/$H33)^2+$I$8*BQ33*($G33/$H33)+$I$9*BQ33^3+$I$10*($G33/$H33)^3+$I$11*BQ33*($G33/$H33)^2+$I$12*BQ33^2*($G33/$H33)</f>
        <v>6.0449026642829606</v>
      </c>
      <c r="BS33" s="15">
        <f>$G$22/(BR33*1000)</f>
        <v>7.8973720622957638E-3</v>
      </c>
      <c r="BT33" s="15">
        <f>BR33</f>
        <v>6.0449026642829606</v>
      </c>
      <c r="BU33" s="15">
        <f>($I33/BT33)/1000</f>
        <v>1.1738198932342405E-2</v>
      </c>
      <c r="BV33" s="24">
        <f>BS33-BU33+$J33</f>
        <v>3.0559173129953352E-2</v>
      </c>
      <c r="BW33" s="16">
        <f>BV33/$D33</f>
        <v>3.0559173129953352E-2</v>
      </c>
      <c r="BX33" s="14">
        <f>BS33*$U$11</f>
        <v>22.200472202588838</v>
      </c>
      <c r="BY33" s="14">
        <f>BU33*$M33*$V$7*$E$11</f>
        <v>50.741086836733281</v>
      </c>
      <c r="BZ33" s="14">
        <f>BX33-BY33+$K33</f>
        <v>59.827385365855491</v>
      </c>
      <c r="CA33" s="44">
        <f>BZ33/$D33</f>
        <v>59.827385365855491</v>
      </c>
      <c r="CB33" s="43">
        <f>83+10</f>
        <v>93</v>
      </c>
      <c r="CC33" s="15">
        <f>$I$3+$I$4*CB33+$I$5*($G33/$H33)+$I$6*CB33^2+$I$7*($G33/$H33)^2+$I$8*CB33*($G33/$H33)+$I$9*CB33^3+$I$10*($G33/$H33)^3+$I$11*CB33*($G33/$H33)^2+$I$12*CB33^2*($G33/$H33)</f>
        <v>6.1439585132971359</v>
      </c>
      <c r="CD33" s="15">
        <f>$G$22/(CC33*1000)</f>
        <v>7.7700468381884597E-3</v>
      </c>
      <c r="CE33" s="15">
        <f>CC33</f>
        <v>6.1439585132971359</v>
      </c>
      <c r="CF33" s="15">
        <f>($I33/CE33)/1000</f>
        <v>1.1548950053362511E-2</v>
      </c>
      <c r="CG33" s="24">
        <f>CD33-CF33+$J33</f>
        <v>3.0621096784825941E-2</v>
      </c>
      <c r="CH33" s="16">
        <f>CG33/$D33</f>
        <v>3.0621096784825941E-2</v>
      </c>
      <c r="CI33" s="14">
        <f>CD33*$V$11</f>
        <v>22.597639196072915</v>
      </c>
      <c r="CJ33" s="14">
        <f>CF33*$M33*$W$7*$E$11</f>
        <v>50.446083663917918</v>
      </c>
      <c r="CK33" s="14">
        <f>CI33-CJ33+$K33</f>
        <v>60.519555532154939</v>
      </c>
      <c r="CL33" s="44">
        <f>CK33/$D33</f>
        <v>60.519555532154939</v>
      </c>
      <c r="CM33" s="43">
        <f>89+10</f>
        <v>99</v>
      </c>
      <c r="CN33" s="15">
        <f>$I$3+$I$4*CM33+$I$5*($G33/$H33)+$I$6*CM33^2+$I$7*($G33/$H33)^2+$I$8*CM33*($G33/$H33)+$I$9*CM33^3+$I$10*($G33/$H33)^3+$I$11*CM33*($G33/$H33)^2+$I$12*CM33^2*($G33/$H33)</f>
        <v>5.5747757160485589</v>
      </c>
      <c r="CO33" s="15">
        <f>$G$22/(CN33*1000)</f>
        <v>8.5633661068688013E-3</v>
      </c>
      <c r="CP33" s="15">
        <f>CN33</f>
        <v>5.5747757160485589</v>
      </c>
      <c r="CQ33" s="15">
        <f>($I33/CP33)/1000</f>
        <v>1.2728094117891135E-2</v>
      </c>
      <c r="CR33" s="24">
        <f>CO33-CQ33+$J33</f>
        <v>3.0235271988977658E-2</v>
      </c>
      <c r="CS33" s="16">
        <f>CR33/$D33</f>
        <v>3.0235271988977658E-2</v>
      </c>
      <c r="CT33" s="14">
        <f>CO33*$W$11</f>
        <v>25.165791724529782</v>
      </c>
      <c r="CU33" s="14">
        <f>CQ33*$M33*$X$7*$E$11</f>
        <v>55.35289627455267</v>
      </c>
      <c r="CV33" s="14">
        <f>CT33-CU33+$K33</f>
        <v>58.180895449977051</v>
      </c>
      <c r="CW33" s="44">
        <f>CV33/$D33</f>
        <v>58.180895449977051</v>
      </c>
      <c r="CX33" s="43">
        <f>94+10</f>
        <v>104</v>
      </c>
      <c r="CY33" s="15">
        <f>$I$3+$I$4*CX33+$I$5*($G33/$H33)+$I$6*CX33^2+$I$7*($G33/$H33)^2+$I$8*CX33*($G33/$H33)+$I$9*CX33^3+$I$10*($G33/$H33)^3+$I$11*CX33*($G33/$H33)^2+$I$12*CX33^2*($G33/$H33)</f>
        <v>5.1424030375448995</v>
      </c>
      <c r="CZ33" s="15">
        <f>$G$22/(CY33*1000)</f>
        <v>9.2833729817873422E-3</v>
      </c>
      <c r="DA33" s="15">
        <f>CY33</f>
        <v>5.1424030375448995</v>
      </c>
      <c r="DB33" s="15">
        <f>($I33/DA33)/1000</f>
        <v>1.3798270863241429E-2</v>
      </c>
      <c r="DC33" s="24">
        <f>CZ33-DB33+$J33</f>
        <v>2.9885102118545906E-2</v>
      </c>
      <c r="DD33" s="16">
        <f>DC33/$D33</f>
        <v>2.9885102118545906E-2</v>
      </c>
      <c r="DE33" s="14">
        <f>CZ33*$X$11</f>
        <v>27.162135098506749</v>
      </c>
      <c r="DF33" s="14">
        <f>DB33*$M33*$Y$7*$E$11</f>
        <v>59.403600127651636</v>
      </c>
      <c r="DG33" s="14">
        <f>DE33-DF33+$K33</f>
        <v>56.126534970855047</v>
      </c>
      <c r="DH33" s="44">
        <f>DG33/$D33</f>
        <v>56.126534970855047</v>
      </c>
      <c r="DI33" s="43">
        <f>100+10</f>
        <v>110</v>
      </c>
      <c r="DJ33" s="15">
        <f>$I$3+$I$4*DI33+$I$5*($G33/$H33)+$I$6*DI33^2+$I$7*($G33/$H33)^2+$I$8*DI33*($G33/$H33)+$I$9*DI33^3+$I$10*($G33/$H33)^3+$I$11*DI33*($G33/$H33)^2+$I$12*DI33^2*($G33/$H33)</f>
        <v>4.6653923073913601</v>
      </c>
      <c r="DK33" s="15">
        <f>$G$22/(DJ33*1000)</f>
        <v>1.0232546863116535E-2</v>
      </c>
      <c r="DL33" s="15">
        <f>DJ33</f>
        <v>4.6653923073913601</v>
      </c>
      <c r="DM33" s="15">
        <f>($I33/DL33)/1000</f>
        <v>1.5209068246540447E-2</v>
      </c>
      <c r="DN33" s="24">
        <f>DK33-DM33+$J33</f>
        <v>2.9423478616576081E-2</v>
      </c>
      <c r="DO33" s="16">
        <f>DN33/$D33</f>
        <v>2.9423478616576081E-2</v>
      </c>
      <c r="DP33" s="14">
        <f>DK33*$Y$11</f>
        <v>29.638278589857777</v>
      </c>
      <c r="DQ33" s="14">
        <f>DM33*$M33*$Z$7*$E$11</f>
        <v>64.775249011880931</v>
      </c>
      <c r="DR33" s="14">
        <f>DP33-DQ33+$K33</f>
        <v>53.231029577976784</v>
      </c>
      <c r="DS33" s="44">
        <f>DR33/$D33</f>
        <v>53.231029577976784</v>
      </c>
      <c r="DT33" s="43">
        <f>104+10</f>
        <v>114</v>
      </c>
      <c r="DU33" s="15">
        <f>$I$3+$I$4*DT33+$I$5*($G33/$H33)+$I$6*DT33^2+$I$7*($G33/$H33)^2+$I$8*DT33*($G33/$H33)+$I$9*DT33^3+$I$10*($G33/$H33)^3+$I$11*DT33*($G33/$H33)^2+$I$12*DT33^2*($G33/$H33)</f>
        <v>4.3681956261112722</v>
      </c>
      <c r="DV33" s="15">
        <f>$G$22/(DU33*1000)</f>
        <v>1.0928733396197357E-2</v>
      </c>
      <c r="DW33" s="15">
        <f>DU33</f>
        <v>4.3681956261112722</v>
      </c>
      <c r="DX33" s="15">
        <f>($I33/DW33)/1000</f>
        <v>1.6243839807872314E-2</v>
      </c>
      <c r="DY33" s="24">
        <f>DV33-DX33+$J33</f>
        <v>2.9084893588325035E-2</v>
      </c>
      <c r="DZ33" s="16">
        <f>DY33/$D33</f>
        <v>2.9084893588325035E-2</v>
      </c>
      <c r="EA33" s="14">
        <f>DV33*$Z$11</f>
        <v>31.315362814779302</v>
      </c>
      <c r="EB33" s="14">
        <f>DX33*$M33*$AA$7*$E$11</f>
        <v>66.703679203283102</v>
      </c>
      <c r="EC33" s="14">
        <f>EA33-EB33+$K33</f>
        <v>52.979683611496142</v>
      </c>
      <c r="ED33" s="44">
        <f>EC33/$D33</f>
        <v>52.979683611496142</v>
      </c>
      <c r="EE33" s="43">
        <f>100+10</f>
        <v>110</v>
      </c>
      <c r="EF33" s="15">
        <f>$I$3+$I$4*EE33+$I$5*($G33/$H33)+$I$6*EE33^2+$I$7*($G33/$H33)^2+$I$8*EE33*($G33/$H33)+$I$9*EE33^3+$I$10*($G33/$H33)^3+$I$11*EE33*($G33/$H33)^2+$I$12*EE33^2*($G33/$H33)</f>
        <v>4.6653923073913601</v>
      </c>
      <c r="EG33" s="15">
        <f>$G$22/(EF33*1000)</f>
        <v>1.0232546863116535E-2</v>
      </c>
      <c r="EH33" s="15">
        <f>EF33</f>
        <v>4.6653923073913601</v>
      </c>
      <c r="EI33" s="15">
        <f>($I33/EH33)/1000</f>
        <v>1.5209068246540447E-2</v>
      </c>
      <c r="EJ33" s="24">
        <f>EG33-EI33+$J33</f>
        <v>2.9423478616576081E-2</v>
      </c>
      <c r="EK33" s="16">
        <f>EJ33/$D33</f>
        <v>2.9423478616576081E-2</v>
      </c>
      <c r="EL33" s="14">
        <f>EG33*$AA$11</f>
        <v>28.270010326708292</v>
      </c>
      <c r="EM33" s="14">
        <f>EI33*$M33*$AB$7*$E$11</f>
        <v>63.435864719962119</v>
      </c>
      <c r="EN33" s="14">
        <f>EL33-EM33+$K33</f>
        <v>53.202145606746114</v>
      </c>
      <c r="EO33" s="44">
        <f>EN33/$D33</f>
        <v>53.202145606746114</v>
      </c>
      <c r="EP33" s="43">
        <f>101+10</f>
        <v>111</v>
      </c>
      <c r="EQ33" s="15">
        <f>$I$3+$I$4*EP33+$I$5*($G33/$H33)+$I$6*EP33^2+$I$7*($G33/$H33)^2+$I$8*EP33*($G33/$H33)+$I$9*EP33^3+$I$10*($G33/$H33)^3+$I$11*EP33*($G33/$H33)^2+$I$12*EP33^2*($G33/$H33)</f>
        <v>4.5896914257050021</v>
      </c>
      <c r="ER33" s="15">
        <f>$G$22/(EQ33*1000)</f>
        <v>1.0401319172099358E-2</v>
      </c>
      <c r="ES33" s="15">
        <f>EQ33</f>
        <v>4.5896914257050021</v>
      </c>
      <c r="ET33" s="15">
        <f>($I33/ES33)/1000</f>
        <v>1.5459921685062024E-2</v>
      </c>
      <c r="EU33" s="24">
        <f>ER33-ET33+$J33</f>
        <v>2.9341397487037325E-2</v>
      </c>
      <c r="EV33" s="16">
        <f>EU33/$D33</f>
        <v>2.9341397487037325E-2</v>
      </c>
      <c r="EW33" s="14">
        <f>ER33*$AB$11</f>
        <v>29.187830293044428</v>
      </c>
      <c r="EX33" s="14">
        <f>ET33*$M33*$AC$7*$E$11</f>
        <v>65.966266075140126</v>
      </c>
      <c r="EY33" s="14">
        <f>EW33-EX33+$K33</f>
        <v>51.58956421790424</v>
      </c>
      <c r="EZ33" s="44">
        <f>EY33/$D33</f>
        <v>51.58956421790424</v>
      </c>
      <c r="FA33" s="43">
        <f>108+10</f>
        <v>118</v>
      </c>
      <c r="FB33" s="15">
        <f>$I$3+$I$4*FA33+$I$5*($G33/$H33)+$I$6*FA33^2+$I$7*($G33/$H33)^2+$I$8*FA33*($G33/$H33)+$I$9*FA33^3+$I$10*($G33/$H33)^3+$I$11*FA33*($G33/$H33)^2+$I$12*FA33^2*($G33/$H33)</f>
        <v>4.0842537429219599</v>
      </c>
      <c r="FC33" s="15">
        <f>$G$22/(FB33*1000)</f>
        <v>1.1688511151624023E-2</v>
      </c>
      <c r="FD33" s="15">
        <f>FB33</f>
        <v>4.0842537429219599</v>
      </c>
      <c r="FE33" s="15">
        <f>($I33/FD33)/1000</f>
        <v>1.7373129699144601E-2</v>
      </c>
      <c r="FF33" s="24">
        <f>FC33-FE33+$J33</f>
        <v>2.8715381452479413E-2</v>
      </c>
      <c r="FG33" s="16">
        <f>FF33/$D33</f>
        <v>2.8715381452479413E-2</v>
      </c>
      <c r="FH33" s="14">
        <f>FC33*$AC$11</f>
        <v>33.554822185005278</v>
      </c>
      <c r="FI33" s="14">
        <f>FE33*$M33*$AD$7*$E$11</f>
        <v>73.318731098049923</v>
      </c>
      <c r="FJ33" s="14">
        <f>FH33-FI33+$K33</f>
        <v>48.604091086955293</v>
      </c>
      <c r="FK33" s="44">
        <f>FJ33/$D33</f>
        <v>48.604091086955293</v>
      </c>
      <c r="FL33" s="43">
        <f>111+10</f>
        <v>121</v>
      </c>
      <c r="FM33" s="15">
        <f>$I$3+$I$4*FL33+$I$5*($G33/$H33)+$I$6*FL33^2+$I$7*($G33/$H33)^2+$I$8*FL33*($G33/$H33)+$I$9*FL33^3+$I$10*($G33/$H33)^3+$I$11*FL33*($G33/$H33)^2+$I$12*FL33^2*($G33/$H33)</f>
        <v>3.8782459772784357</v>
      </c>
      <c r="FN33" s="15">
        <f>$G$22/(FM33*1000)</f>
        <v>1.2309390817367979E-2</v>
      </c>
      <c r="FO33" s="15">
        <f>FM33</f>
        <v>3.8782459772784357</v>
      </c>
      <c r="FP33" s="15">
        <f>($I33/FO33)/1000</f>
        <v>1.8295969470660978E-2</v>
      </c>
      <c r="FQ33" s="24">
        <f>FN33-FP33+$J33</f>
        <v>2.8413421346706994E-2</v>
      </c>
      <c r="FR33" s="16">
        <f>FQ33/$D33</f>
        <v>2.8413421346706994E-2</v>
      </c>
      <c r="FS33" s="14">
        <f>FN33*$AD$11</f>
        <v>34.950594909416282</v>
      </c>
      <c r="FT33" s="14">
        <f>FP33*$M33*$AE$7*$E$11</f>
        <v>85.203766832304112</v>
      </c>
      <c r="FU33" s="14">
        <f>FS33-FT33+$K33</f>
        <v>38.114828077112108</v>
      </c>
      <c r="FV33" s="44">
        <f>FU33/$D33</f>
        <v>38.114828077112108</v>
      </c>
      <c r="FW33" s="43">
        <f>89+10</f>
        <v>99</v>
      </c>
      <c r="FX33" s="15">
        <f>$I$3+$I$4*FW33+$I$5*($G33/$H33)+$I$6*FW33^2+$I$7*($G33/$H33)^2+$I$8*FW33*($G33/$H33)+$I$9*FW33^3+$I$10*($G33/$H33)^3+$I$11*FW33*($G33/$H33)^2+$I$12*FW33^2*($G33/$H33)</f>
        <v>5.5747757160485589</v>
      </c>
      <c r="FY33" s="15">
        <f>$G$22/(FX33*1000)</f>
        <v>8.5633661068688013E-3</v>
      </c>
      <c r="FZ33" s="15">
        <f>FX33</f>
        <v>5.5747757160485589</v>
      </c>
      <c r="GA33" s="15">
        <f>($I33/FZ33)/1000</f>
        <v>1.2728094117891135E-2</v>
      </c>
      <c r="GB33" s="24">
        <f>FY33-GA33+$J33</f>
        <v>3.0235271988977658E-2</v>
      </c>
      <c r="GC33" s="16">
        <f>GB33/$D33</f>
        <v>3.0235271988977658E-2</v>
      </c>
      <c r="GD33" s="14">
        <f>FY33*$AE$11</f>
        <v>26.830515293882023</v>
      </c>
      <c r="GE33" s="14">
        <f>GA33*$M33*$AF$7*$E$11</f>
        <v>49.539258229116776</v>
      </c>
      <c r="GF33" s="14">
        <f>GD33-GE33+$K33</f>
        <v>65.659257064765185</v>
      </c>
      <c r="GG33" s="44">
        <f>GF33/$D33</f>
        <v>65.659257064765185</v>
      </c>
    </row>
    <row r="34" spans="2:202" ht="13.8" hidden="1" x14ac:dyDescent="0.25">
      <c r="B34" s="33"/>
      <c r="C34" s="3" t="s">
        <v>156</v>
      </c>
      <c r="D34" s="4"/>
      <c r="E34" s="4"/>
      <c r="F34" s="4"/>
      <c r="G34" s="4"/>
      <c r="H34" s="4"/>
      <c r="I34" s="4"/>
      <c r="J34" s="106"/>
      <c r="K34" s="106"/>
      <c r="L34" s="29"/>
      <c r="M34" s="75"/>
      <c r="N34" s="42"/>
      <c r="O34" s="19"/>
      <c r="P34" s="4"/>
      <c r="Q34" s="19"/>
      <c r="R34" s="4"/>
      <c r="S34" s="25" t="s">
        <v>117</v>
      </c>
      <c r="T34" s="4"/>
      <c r="U34" s="4"/>
      <c r="V34" s="4"/>
      <c r="W34" s="4" t="s">
        <v>117</v>
      </c>
      <c r="X34" s="46"/>
      <c r="Y34" s="42"/>
      <c r="Z34" s="19"/>
      <c r="AA34" s="4"/>
      <c r="AB34" s="19"/>
      <c r="AC34" s="4"/>
      <c r="AD34" s="25" t="s">
        <v>117</v>
      </c>
      <c r="AE34" s="4"/>
      <c r="AF34" s="4"/>
      <c r="AG34" s="4"/>
      <c r="AH34" s="4" t="s">
        <v>117</v>
      </c>
      <c r="AI34" s="46"/>
      <c r="AJ34" s="42"/>
      <c r="AK34" s="19"/>
      <c r="AL34" s="4"/>
      <c r="AM34" s="19"/>
      <c r="AN34" s="4"/>
      <c r="AO34" s="25" t="s">
        <v>117</v>
      </c>
      <c r="AP34" s="4"/>
      <c r="AQ34" s="4"/>
      <c r="AR34" s="4"/>
      <c r="AS34" s="4" t="s">
        <v>117</v>
      </c>
      <c r="AT34" s="46"/>
      <c r="AU34" s="42"/>
      <c r="AV34" s="19"/>
      <c r="AW34" s="179"/>
      <c r="AX34" s="19"/>
      <c r="AY34" s="4"/>
      <c r="AZ34" s="25" t="s">
        <v>117</v>
      </c>
      <c r="BA34" s="4"/>
      <c r="BB34" s="4"/>
      <c r="BC34" s="4"/>
      <c r="BD34" s="4" t="s">
        <v>117</v>
      </c>
      <c r="BE34" s="46"/>
      <c r="BF34" s="42"/>
      <c r="BG34" s="19"/>
      <c r="BH34" s="4"/>
      <c r="BI34" s="19"/>
      <c r="BJ34" s="4"/>
      <c r="BK34" s="25" t="s">
        <v>117</v>
      </c>
      <c r="BL34" s="4"/>
      <c r="BM34" s="4"/>
      <c r="BN34" s="4"/>
      <c r="BO34" s="4" t="s">
        <v>117</v>
      </c>
      <c r="BP34" s="46"/>
      <c r="BQ34" s="42"/>
      <c r="BR34" s="19"/>
      <c r="BS34" s="4"/>
      <c r="BT34" s="19"/>
      <c r="BU34" s="4"/>
      <c r="BV34" s="25" t="s">
        <v>117</v>
      </c>
      <c r="BW34" s="4"/>
      <c r="BX34" s="4"/>
      <c r="BY34" s="4"/>
      <c r="BZ34" s="4" t="s">
        <v>117</v>
      </c>
      <c r="CA34" s="46"/>
      <c r="CB34" s="42"/>
      <c r="CC34" s="19"/>
      <c r="CD34" s="4"/>
      <c r="CE34" s="19"/>
      <c r="CF34" s="4"/>
      <c r="CG34" s="25" t="s">
        <v>117</v>
      </c>
      <c r="CH34" s="4"/>
      <c r="CI34" s="4"/>
      <c r="CJ34" s="4"/>
      <c r="CK34" s="4" t="s">
        <v>117</v>
      </c>
      <c r="CL34" s="46"/>
      <c r="CM34" s="42"/>
      <c r="CN34" s="19"/>
      <c r="CO34" s="4"/>
      <c r="CP34" s="19"/>
      <c r="CQ34" s="4"/>
      <c r="CR34" s="25" t="s">
        <v>117</v>
      </c>
      <c r="CS34" s="4"/>
      <c r="CT34" s="4"/>
      <c r="CU34" s="4"/>
      <c r="CV34" s="4" t="s">
        <v>117</v>
      </c>
      <c r="CW34" s="46"/>
      <c r="CX34" s="42"/>
      <c r="CY34" s="19"/>
      <c r="CZ34" s="4"/>
      <c r="DA34" s="19"/>
      <c r="DB34" s="4"/>
      <c r="DC34" s="25" t="s">
        <v>117</v>
      </c>
      <c r="DD34" s="4"/>
      <c r="DE34" s="4"/>
      <c r="DF34" s="4"/>
      <c r="DG34" s="4" t="s">
        <v>117</v>
      </c>
      <c r="DH34" s="46"/>
      <c r="DI34" s="42"/>
      <c r="DJ34" s="19"/>
      <c r="DK34" s="4"/>
      <c r="DL34" s="19"/>
      <c r="DM34" s="4"/>
      <c r="DN34" s="25" t="s">
        <v>117</v>
      </c>
      <c r="DO34" s="4"/>
      <c r="DP34" s="4"/>
      <c r="DQ34" s="4"/>
      <c r="DR34" s="4" t="s">
        <v>117</v>
      </c>
      <c r="DS34" s="46"/>
      <c r="DT34" s="42"/>
      <c r="DU34" s="19"/>
      <c r="DV34" s="4"/>
      <c r="DW34" s="19"/>
      <c r="DX34" s="4"/>
      <c r="DY34" s="25" t="s">
        <v>117</v>
      </c>
      <c r="DZ34" s="4"/>
      <c r="EA34" s="4"/>
      <c r="EB34" s="4"/>
      <c r="EC34" s="4" t="s">
        <v>117</v>
      </c>
      <c r="ED34" s="46"/>
      <c r="EE34" s="42"/>
      <c r="EF34" s="19"/>
      <c r="EG34" s="4"/>
      <c r="EH34" s="19"/>
      <c r="EI34" s="4"/>
      <c r="EJ34" s="25" t="s">
        <v>117</v>
      </c>
      <c r="EK34" s="4"/>
      <c r="EL34" s="4"/>
      <c r="EM34" s="4"/>
      <c r="EN34" s="4" t="s">
        <v>117</v>
      </c>
      <c r="EO34" s="46"/>
      <c r="EP34" s="42"/>
      <c r="EQ34" s="19"/>
      <c r="ER34" s="4"/>
      <c r="ES34" s="19"/>
      <c r="ET34" s="4"/>
      <c r="EU34" s="25" t="s">
        <v>117</v>
      </c>
      <c r="EV34" s="4"/>
      <c r="EW34" s="4"/>
      <c r="EX34" s="4"/>
      <c r="EY34" s="4" t="s">
        <v>117</v>
      </c>
      <c r="EZ34" s="46"/>
      <c r="FA34" s="42"/>
      <c r="FB34" s="19"/>
      <c r="FC34" s="4"/>
      <c r="FD34" s="19"/>
      <c r="FE34" s="4"/>
      <c r="FF34" s="25" t="s">
        <v>117</v>
      </c>
      <c r="FG34" s="4"/>
      <c r="FH34" s="4"/>
      <c r="FI34" s="4"/>
      <c r="FJ34" s="4" t="s">
        <v>117</v>
      </c>
      <c r="FK34" s="46"/>
      <c r="FL34" s="42"/>
      <c r="FM34" s="19"/>
      <c r="FN34" s="4"/>
      <c r="FO34" s="19"/>
      <c r="FP34" s="4"/>
      <c r="FQ34" s="25" t="s">
        <v>117</v>
      </c>
      <c r="FR34" s="4"/>
      <c r="FS34" s="4"/>
      <c r="FT34" s="4"/>
      <c r="FU34" s="4" t="s">
        <v>117</v>
      </c>
      <c r="FV34" s="46"/>
      <c r="FW34" s="42"/>
      <c r="FX34" s="19"/>
      <c r="FY34" s="4"/>
      <c r="FZ34" s="19"/>
      <c r="GA34" s="4"/>
      <c r="GB34" s="25" t="s">
        <v>117</v>
      </c>
      <c r="GC34" s="4"/>
      <c r="GD34" s="4"/>
      <c r="GE34" s="4"/>
      <c r="GF34" s="4" t="s">
        <v>117</v>
      </c>
      <c r="GG34" s="46"/>
    </row>
    <row r="35" spans="2:202" ht="13.8" hidden="1" x14ac:dyDescent="0.25">
      <c r="B35" s="34" t="s">
        <v>131</v>
      </c>
      <c r="C35" s="3" t="s">
        <v>156</v>
      </c>
      <c r="D35" s="2"/>
      <c r="E35" s="2"/>
      <c r="F35" s="2"/>
      <c r="G35" s="2"/>
      <c r="H35" s="2"/>
      <c r="I35" s="2"/>
      <c r="J35" s="107"/>
      <c r="K35" s="107"/>
      <c r="L35" s="32"/>
      <c r="M35" s="76"/>
      <c r="N35" s="41"/>
      <c r="O35" s="20"/>
      <c r="P35" s="2"/>
      <c r="Q35" s="20"/>
      <c r="R35" s="2"/>
      <c r="S35" s="26"/>
      <c r="T35" s="2"/>
      <c r="U35" s="2"/>
      <c r="V35" s="2"/>
      <c r="W35" s="2"/>
      <c r="X35" s="47"/>
      <c r="Y35" s="41"/>
      <c r="Z35" s="20"/>
      <c r="AA35" s="2"/>
      <c r="AB35" s="20"/>
      <c r="AC35" s="2"/>
      <c r="AD35" s="26"/>
      <c r="AE35" s="2"/>
      <c r="AF35" s="2"/>
      <c r="AG35" s="2"/>
      <c r="AH35" s="2"/>
      <c r="AI35" s="47"/>
      <c r="AJ35" s="41"/>
      <c r="AK35" s="20"/>
      <c r="AL35" s="2"/>
      <c r="AM35" s="20"/>
      <c r="AN35" s="2"/>
      <c r="AO35" s="26"/>
      <c r="AP35" s="2"/>
      <c r="AQ35" s="2"/>
      <c r="AR35" s="2"/>
      <c r="AS35" s="2"/>
      <c r="AT35" s="47"/>
      <c r="AU35" s="41"/>
      <c r="AV35" s="20"/>
      <c r="AW35" s="180"/>
      <c r="AX35" s="20"/>
      <c r="AY35" s="2"/>
      <c r="AZ35" s="26"/>
      <c r="BA35" s="2"/>
      <c r="BB35" s="2"/>
      <c r="BC35" s="2"/>
      <c r="BD35" s="2"/>
      <c r="BE35" s="47"/>
      <c r="BF35" s="41"/>
      <c r="BG35" s="20"/>
      <c r="BH35" s="2"/>
      <c r="BI35" s="20"/>
      <c r="BJ35" s="2"/>
      <c r="BK35" s="26"/>
      <c r="BL35" s="2"/>
      <c r="BM35" s="2"/>
      <c r="BN35" s="2"/>
      <c r="BO35" s="2"/>
      <c r="BP35" s="47"/>
      <c r="BQ35" s="41"/>
      <c r="BR35" s="20"/>
      <c r="BS35" s="2"/>
      <c r="BT35" s="20"/>
      <c r="BU35" s="2"/>
      <c r="BV35" s="26"/>
      <c r="BW35" s="2"/>
      <c r="BX35" s="2"/>
      <c r="BY35" s="2"/>
      <c r="BZ35" s="2"/>
      <c r="CA35" s="47"/>
      <c r="CB35" s="41"/>
      <c r="CC35" s="20"/>
      <c r="CD35" s="2"/>
      <c r="CE35" s="20"/>
      <c r="CF35" s="2"/>
      <c r="CG35" s="26"/>
      <c r="CH35" s="2"/>
      <c r="CI35" s="2"/>
      <c r="CJ35" s="2"/>
      <c r="CK35" s="2"/>
      <c r="CL35" s="47"/>
      <c r="CM35" s="41"/>
      <c r="CN35" s="20"/>
      <c r="CO35" s="2"/>
      <c r="CP35" s="20"/>
      <c r="CQ35" s="2"/>
      <c r="CR35" s="26"/>
      <c r="CS35" s="2"/>
      <c r="CT35" s="2"/>
      <c r="CU35" s="2"/>
      <c r="CV35" s="2"/>
      <c r="CW35" s="47"/>
      <c r="CX35" s="41"/>
      <c r="CY35" s="20"/>
      <c r="CZ35" s="2"/>
      <c r="DA35" s="20"/>
      <c r="DB35" s="2"/>
      <c r="DC35" s="26"/>
      <c r="DD35" s="2"/>
      <c r="DE35" s="2"/>
      <c r="DF35" s="2"/>
      <c r="DG35" s="2"/>
      <c r="DH35" s="47"/>
      <c r="DI35" s="41"/>
      <c r="DJ35" s="20"/>
      <c r="DK35" s="2"/>
      <c r="DL35" s="20"/>
      <c r="DM35" s="2"/>
      <c r="DN35" s="26"/>
      <c r="DO35" s="2"/>
      <c r="DP35" s="2"/>
      <c r="DQ35" s="2"/>
      <c r="DR35" s="2"/>
      <c r="DS35" s="47"/>
      <c r="DT35" s="41"/>
      <c r="DU35" s="20"/>
      <c r="DV35" s="2"/>
      <c r="DW35" s="20"/>
      <c r="DX35" s="2"/>
      <c r="DY35" s="26"/>
      <c r="DZ35" s="2"/>
      <c r="EA35" s="2"/>
      <c r="EB35" s="2"/>
      <c r="EC35" s="2"/>
      <c r="ED35" s="47"/>
      <c r="EE35" s="41"/>
      <c r="EF35" s="20"/>
      <c r="EG35" s="2"/>
      <c r="EH35" s="20"/>
      <c r="EI35" s="2"/>
      <c r="EJ35" s="26"/>
      <c r="EK35" s="2"/>
      <c r="EL35" s="2"/>
      <c r="EM35" s="2"/>
      <c r="EN35" s="2"/>
      <c r="EO35" s="47"/>
      <c r="EP35" s="41"/>
      <c r="EQ35" s="20"/>
      <c r="ER35" s="2"/>
      <c r="ES35" s="20"/>
      <c r="ET35" s="2"/>
      <c r="EU35" s="26"/>
      <c r="EV35" s="2"/>
      <c r="EW35" s="2"/>
      <c r="EX35" s="2"/>
      <c r="EY35" s="2"/>
      <c r="EZ35" s="47"/>
      <c r="FA35" s="41"/>
      <c r="FB35" s="20"/>
      <c r="FC35" s="2"/>
      <c r="FD35" s="20"/>
      <c r="FE35" s="2"/>
      <c r="FF35" s="26"/>
      <c r="FG35" s="2"/>
      <c r="FH35" s="2"/>
      <c r="FI35" s="2"/>
      <c r="FJ35" s="2"/>
      <c r="FK35" s="47"/>
      <c r="FL35" s="41"/>
      <c r="FM35" s="20"/>
      <c r="FN35" s="2"/>
      <c r="FO35" s="20"/>
      <c r="FP35" s="2"/>
      <c r="FQ35" s="26"/>
      <c r="FR35" s="2"/>
      <c r="FS35" s="2"/>
      <c r="FT35" s="2"/>
      <c r="FU35" s="2"/>
      <c r="FV35" s="47"/>
      <c r="FW35" s="41"/>
      <c r="FX35" s="20"/>
      <c r="FY35" s="2"/>
      <c r="FZ35" s="20"/>
      <c r="GA35" s="2"/>
      <c r="GB35" s="26"/>
      <c r="GC35" s="2"/>
      <c r="GD35" s="2"/>
      <c r="GE35" s="2"/>
      <c r="GF35" s="2"/>
      <c r="GG35" s="47"/>
    </row>
    <row r="36" spans="2:202" ht="14.4" hidden="1" x14ac:dyDescent="0.3">
      <c r="B36" s="30" t="s">
        <v>114</v>
      </c>
      <c r="C36" s="3" t="s">
        <v>156</v>
      </c>
      <c r="D36" s="7"/>
      <c r="E36" s="7"/>
      <c r="F36" s="3"/>
      <c r="G36" s="3"/>
      <c r="H36" s="8"/>
      <c r="I36" s="12"/>
      <c r="J36" s="108"/>
      <c r="K36" s="108"/>
      <c r="L36" s="98"/>
      <c r="M36" s="97"/>
      <c r="N36" s="45"/>
      <c r="O36" s="22"/>
      <c r="P36" s="15"/>
      <c r="Q36" s="22"/>
      <c r="R36" s="15"/>
      <c r="S36" s="24"/>
      <c r="T36" s="16"/>
      <c r="U36" s="14"/>
      <c r="V36" s="14"/>
      <c r="W36" s="14"/>
      <c r="X36" s="44"/>
      <c r="Y36" s="45"/>
      <c r="Z36" s="22"/>
      <c r="AA36" s="15"/>
      <c r="AB36" s="22"/>
      <c r="AC36" s="15"/>
      <c r="AD36" s="24"/>
      <c r="AE36" s="16"/>
      <c r="AF36" s="14"/>
      <c r="AG36" s="14"/>
      <c r="AH36" s="14"/>
      <c r="AI36" s="44"/>
      <c r="AJ36" s="45"/>
      <c r="AK36" s="22"/>
      <c r="AL36" s="15"/>
      <c r="AM36" s="22"/>
      <c r="AN36" s="15"/>
      <c r="AO36" s="24"/>
      <c r="AP36" s="16"/>
      <c r="AQ36" s="14"/>
      <c r="AR36" s="14"/>
      <c r="AS36" s="14"/>
      <c r="AT36" s="44"/>
      <c r="AU36" s="45"/>
      <c r="AV36" s="22"/>
      <c r="AW36" s="178"/>
      <c r="AX36" s="22"/>
      <c r="AY36" s="15"/>
      <c r="AZ36" s="24"/>
      <c r="BA36" s="16"/>
      <c r="BB36" s="14"/>
      <c r="BC36" s="14"/>
      <c r="BD36" s="14"/>
      <c r="BE36" s="44"/>
      <c r="BF36" s="45"/>
      <c r="BG36" s="22"/>
      <c r="BH36" s="15"/>
      <c r="BI36" s="22"/>
      <c r="BJ36" s="15"/>
      <c r="BK36" s="24"/>
      <c r="BL36" s="16"/>
      <c r="BM36" s="14"/>
      <c r="BN36" s="14"/>
      <c r="BO36" s="14"/>
      <c r="BP36" s="44"/>
      <c r="BQ36" s="45"/>
      <c r="BR36" s="22"/>
      <c r="BS36" s="15"/>
      <c r="BT36" s="22"/>
      <c r="BU36" s="15"/>
      <c r="BV36" s="24"/>
      <c r="BW36" s="16"/>
      <c r="BX36" s="14"/>
      <c r="BY36" s="14"/>
      <c r="BZ36" s="14"/>
      <c r="CA36" s="44"/>
      <c r="CB36" s="45"/>
      <c r="CC36" s="22"/>
      <c r="CD36" s="15"/>
      <c r="CE36" s="22"/>
      <c r="CF36" s="15"/>
      <c r="CG36" s="24"/>
      <c r="CH36" s="16"/>
      <c r="CI36" s="14"/>
      <c r="CJ36" s="14"/>
      <c r="CK36" s="14"/>
      <c r="CL36" s="44"/>
      <c r="CM36" s="45"/>
      <c r="CN36" s="22"/>
      <c r="CO36" s="15"/>
      <c r="CP36" s="22"/>
      <c r="CQ36" s="15"/>
      <c r="CR36" s="24"/>
      <c r="CS36" s="16"/>
      <c r="CT36" s="14"/>
      <c r="CU36" s="14"/>
      <c r="CV36" s="14"/>
      <c r="CW36" s="44"/>
      <c r="CX36" s="45"/>
      <c r="CY36" s="22"/>
      <c r="CZ36" s="15"/>
      <c r="DA36" s="22"/>
      <c r="DB36" s="15"/>
      <c r="DC36" s="24"/>
      <c r="DD36" s="16"/>
      <c r="DE36" s="14"/>
      <c r="DF36" s="14"/>
      <c r="DG36" s="14"/>
      <c r="DH36" s="44"/>
      <c r="DI36" s="45"/>
      <c r="DJ36" s="22"/>
      <c r="DK36" s="15"/>
      <c r="DL36" s="22"/>
      <c r="DM36" s="15"/>
      <c r="DN36" s="24"/>
      <c r="DO36" s="16"/>
      <c r="DP36" s="14"/>
      <c r="DQ36" s="14"/>
      <c r="DR36" s="14"/>
      <c r="DS36" s="44"/>
      <c r="DT36" s="45"/>
      <c r="DU36" s="22"/>
      <c r="DV36" s="15"/>
      <c r="DW36" s="22"/>
      <c r="DX36" s="15"/>
      <c r="DY36" s="24"/>
      <c r="DZ36" s="16"/>
      <c r="EA36" s="14"/>
      <c r="EB36" s="14"/>
      <c r="EC36" s="14"/>
      <c r="ED36" s="44"/>
      <c r="EE36" s="45"/>
      <c r="EF36" s="22"/>
      <c r="EG36" s="15"/>
      <c r="EH36" s="22"/>
      <c r="EI36" s="15"/>
      <c r="EJ36" s="24"/>
      <c r="EK36" s="16"/>
      <c r="EL36" s="14"/>
      <c r="EM36" s="14"/>
      <c r="EN36" s="14"/>
      <c r="EO36" s="44"/>
      <c r="EP36" s="45"/>
      <c r="EQ36" s="22"/>
      <c r="ER36" s="15"/>
      <c r="ES36" s="22"/>
      <c r="ET36" s="15"/>
      <c r="EU36" s="24"/>
      <c r="EV36" s="16"/>
      <c r="EW36" s="14"/>
      <c r="EX36" s="14"/>
      <c r="EY36" s="14"/>
      <c r="EZ36" s="44"/>
      <c r="FA36" s="45"/>
      <c r="FB36" s="22"/>
      <c r="FC36" s="15"/>
      <c r="FD36" s="22"/>
      <c r="FE36" s="15"/>
      <c r="FF36" s="24"/>
      <c r="FG36" s="16"/>
      <c r="FH36" s="14"/>
      <c r="FI36" s="14"/>
      <c r="FJ36" s="14"/>
      <c r="FK36" s="44"/>
      <c r="FL36" s="45"/>
      <c r="FM36" s="22"/>
      <c r="FN36" s="15"/>
      <c r="FO36" s="22"/>
      <c r="FP36" s="15"/>
      <c r="FQ36" s="24"/>
      <c r="FR36" s="16"/>
      <c r="FS36" s="14"/>
      <c r="FT36" s="14"/>
      <c r="FU36" s="14"/>
      <c r="FV36" s="44"/>
      <c r="FW36" s="45"/>
      <c r="FX36" s="22"/>
      <c r="FY36" s="15"/>
      <c r="FZ36" s="22"/>
      <c r="GA36" s="15"/>
      <c r="GB36" s="24"/>
      <c r="GC36" s="16"/>
      <c r="GD36" s="14"/>
      <c r="GE36" s="14"/>
      <c r="GF36" s="14"/>
      <c r="GG36" s="44"/>
      <c r="GH36" s="1" t="s">
        <v>0</v>
      </c>
      <c r="GI36" s="61" t="e">
        <f>#REF!</f>
        <v>#REF!</v>
      </c>
      <c r="GJ36" s="62" t="e">
        <f>#REF!</f>
        <v>#REF!</v>
      </c>
      <c r="GK36" s="61" t="e">
        <f>#REF!</f>
        <v>#REF!</v>
      </c>
      <c r="GL36" s="62" t="e">
        <f>#REF!</f>
        <v>#REF!</v>
      </c>
      <c r="GM36" s="61" t="e">
        <f>#REF!</f>
        <v>#REF!</v>
      </c>
      <c r="GN36" s="62" t="e">
        <f>#REF!</f>
        <v>#REF!</v>
      </c>
      <c r="GO36" s="61" t="e">
        <f>#REF!</f>
        <v>#REF!</v>
      </c>
      <c r="GP36" s="62" t="e">
        <f>#REF!</f>
        <v>#REF!</v>
      </c>
      <c r="GQ36" s="61" t="e">
        <f>#REF!</f>
        <v>#REF!</v>
      </c>
      <c r="GR36" s="62" t="e">
        <f>#REF!</f>
        <v>#REF!</v>
      </c>
      <c r="GS36" s="61" t="e">
        <f>#REF!</f>
        <v>#REF!</v>
      </c>
      <c r="GT36" s="62" t="e">
        <f>#REF!</f>
        <v>#REF!</v>
      </c>
    </row>
    <row r="37" spans="2:202" ht="13.8" x14ac:dyDescent="0.25">
      <c r="B37" s="31" t="s">
        <v>152</v>
      </c>
      <c r="C37" s="3" t="s">
        <v>156</v>
      </c>
      <c r="D37" s="3">
        <v>1</v>
      </c>
      <c r="E37" s="3">
        <v>38</v>
      </c>
      <c r="F37" s="3">
        <f>E37-10</f>
        <v>28</v>
      </c>
      <c r="G37" s="11">
        <f>'Cooling Load'!D33</f>
        <v>73.219369520547943</v>
      </c>
      <c r="H37" s="14">
        <f>G37*1.15</f>
        <v>84.202274948630134</v>
      </c>
      <c r="I37" s="14">
        <f>'Cooling Load'!I33</f>
        <v>10.031726484018265</v>
      </c>
      <c r="J37" s="110">
        <f>'Cooling Load'!I20</f>
        <v>5.0166666666666672E-2</v>
      </c>
      <c r="K37" s="109">
        <f>'Cooling Load'!I26</f>
        <v>236.28500000000003</v>
      </c>
      <c r="L37" s="98">
        <f>I37/H37</f>
        <v>0.11913842577458138</v>
      </c>
      <c r="M37" s="97">
        <f>(1-(1-L37))*(1-$D$8)</f>
        <v>0.11318150448585226</v>
      </c>
      <c r="N37" s="43">
        <f>69+15</f>
        <v>84</v>
      </c>
      <c r="O37" s="15">
        <f>$H$3+$H$4*N37+$H$5*($G37/$H37)+$H$6*N37^2+$H$7*($G37/$H37)^2+$H$8*N37*($G37/$H37)+$H$9*N37^3+$H$10*($G37/$H37)^3+$H$11*N37*($G37/$H37)^2+$H$12*N37^2*($G37/$H37)</f>
        <v>9.517424087669232</v>
      </c>
      <c r="P37" s="15">
        <f>$G$37/(O37*1000)</f>
        <v>7.6931918601180031E-3</v>
      </c>
      <c r="Q37" s="15">
        <f>O37</f>
        <v>9.517424087669232</v>
      </c>
      <c r="R37" s="15">
        <f>($I37/Q37)/1000</f>
        <v>1.0540379825057246E-3</v>
      </c>
      <c r="S37" s="24">
        <f>P37-R37+$J37</f>
        <v>5.6805820544278948E-2</v>
      </c>
      <c r="T37" s="16">
        <f>S37/$D37</f>
        <v>5.6805820544278948E-2</v>
      </c>
      <c r="U37" s="14">
        <f>P37*$Q$10</f>
        <v>22.228034803757545</v>
      </c>
      <c r="V37" s="14">
        <f>R37*$M37*$Q$7*$D$11</f>
        <v>0.41725395644629726</v>
      </c>
      <c r="W37" s="14">
        <f>U37-V37+$K37</f>
        <v>258.09578084731129</v>
      </c>
      <c r="X37" s="44">
        <f>W37/$D37</f>
        <v>258.09578084731129</v>
      </c>
      <c r="Y37" s="43">
        <f>96+15</f>
        <v>111</v>
      </c>
      <c r="Z37" s="15">
        <f>$H$3+$H$4*Y37+$H$5*($G37/$H37)+$H$6*Y37^2+$H$7*($G37/$H37)^2+$H$8*Y37*($G37/$H37)+$H$9*Y37^3+$H$10*($G37/$H37)^3+$H$11*Y37*($G37/$H37)^2+$H$12*Y37^2*($G37/$H37)</f>
        <v>6.4425744504920166</v>
      </c>
      <c r="AA37" s="15">
        <f>$G$37/(Z37*1000)</f>
        <v>1.1364924081700943E-2</v>
      </c>
      <c r="AB37" s="15">
        <f>Z37</f>
        <v>6.4425744504920166</v>
      </c>
      <c r="AC37" s="15">
        <f>($I37/AB37)/1000</f>
        <v>1.5570990387627024E-3</v>
      </c>
      <c r="AD37" s="24">
        <f>AA37-AC37+$J37</f>
        <v>5.9974491709604914E-2</v>
      </c>
      <c r="AE37" s="16">
        <f>AD37/$D37</f>
        <v>5.9974491709604914E-2</v>
      </c>
      <c r="AF37" s="14">
        <f>AA37*$R$10</f>
        <v>33.077093490659813</v>
      </c>
      <c r="AG37" s="14">
        <f>AC37*$M37*$R$7*$D$11</f>
        <v>0.62090725736981411</v>
      </c>
      <c r="AH37" s="14">
        <f>AF37-AG37+$K37</f>
        <v>268.74118623329002</v>
      </c>
      <c r="AI37" s="44">
        <f>AH37/$D37</f>
        <v>268.74118623329002</v>
      </c>
      <c r="AJ37" s="43">
        <f>89+15</f>
        <v>104</v>
      </c>
      <c r="AK37" s="15">
        <f>$H$3+$H$4*AJ37+$H$5*($G37/$H37)+$H$6*AJ37^2+$H$7*($G37/$H37)^2+$H$8*AJ37*($G37/$H37)+$H$9*AJ37^3+$H$10*($G37/$H37)^3+$H$11*AJ37*($G37/$H37)^2+$H$12*AJ37^2*($G37/$H37)</f>
        <v>7.1731404854674166</v>
      </c>
      <c r="AL37" s="15">
        <f>$G$37/(AK37*1000)</f>
        <v>1.0207435595174575E-2</v>
      </c>
      <c r="AM37" s="15">
        <f>AK37</f>
        <v>7.1731404854674166</v>
      </c>
      <c r="AN37" s="15">
        <f>($I37/AM37)/1000</f>
        <v>1.398512479205205E-3</v>
      </c>
      <c r="AO37" s="24">
        <f>AL37-AN37+$J37</f>
        <v>5.8975589782636041E-2</v>
      </c>
      <c r="AP37" s="16">
        <f>AO37/$D37</f>
        <v>5.8975589782636041E-2</v>
      </c>
      <c r="AQ37" s="14">
        <f>AL37*$Q$10</f>
        <v>29.492470458571649</v>
      </c>
      <c r="AR37" s="14">
        <f>AN37*$M37*$S$7*$D$11</f>
        <v>0.56694440001541435</v>
      </c>
      <c r="AS37" s="14">
        <f>AQ37-AR37+$K37</f>
        <v>265.21052605855624</v>
      </c>
      <c r="AT37" s="44">
        <f>AS37/$D37</f>
        <v>265.21052605855624</v>
      </c>
      <c r="AU37" s="43">
        <f>88+15</f>
        <v>103</v>
      </c>
      <c r="AV37" s="15">
        <f>$H$3+$H$4*AU37+$H$5*($G37/$H37)+$H$6*AU37^2+$H$7*($G37/$H37)^2+$H$8*AU37*($G37/$H37)+$H$9*AU37^3+$H$10*($G37/$H37)^3+$H$11*AU37*($G37/$H37)^2+$H$12*AU37^2*($G37/$H37)</f>
        <v>7.281090917823354</v>
      </c>
      <c r="AW37" s="178">
        <f>$G$37/(AV37*1000)</f>
        <v>1.0056098783399962E-2</v>
      </c>
      <c r="AX37" s="15">
        <f>AV37</f>
        <v>7.281090917823354</v>
      </c>
      <c r="AY37" s="15">
        <f>($I37/AX37)/1000</f>
        <v>1.3777779452611475E-3</v>
      </c>
      <c r="AZ37" s="24">
        <f>AW37-AY37+$J37</f>
        <v>5.884498750480549E-2</v>
      </c>
      <c r="BA37" s="16">
        <f>AZ37/$D37</f>
        <v>5.884498750480549E-2</v>
      </c>
      <c r="BB37" s="14">
        <f>AW37*$S$10</f>
        <v>29.754589095427058</v>
      </c>
      <c r="BC37" s="14">
        <f>AY37*$M37*$T$7*$D$11</f>
        <v>0.57194139640043584</v>
      </c>
      <c r="BD37" s="14">
        <f>BB37-BC37+$K37</f>
        <v>265.46764769902666</v>
      </c>
      <c r="BE37" s="44">
        <f>BD37/$D37</f>
        <v>265.46764769902666</v>
      </c>
      <c r="BF37" s="43">
        <f>83+15</f>
        <v>98</v>
      </c>
      <c r="BG37" s="15">
        <f>$H$3+$H$4*BF37+$H$5*($G37/$H37)+$H$6*BF37^2+$H$7*($G37/$H37)^2+$H$8*BF37*($G37/$H37)+$H$9*BF37^3+$H$10*($G37/$H37)^3+$H$11*BF37*($G37/$H37)^2+$H$12*BF37^2*($G37/$H37)</f>
        <v>7.8348543036092488</v>
      </c>
      <c r="BH37" s="15">
        <f>$G$37/(BG37*1000)</f>
        <v>9.345339004813184E-3</v>
      </c>
      <c r="BI37" s="15">
        <f>BG37</f>
        <v>7.8348543036092488</v>
      </c>
      <c r="BJ37" s="15">
        <f>($I37/BI37)/1000</f>
        <v>1.2803973239677211E-3</v>
      </c>
      <c r="BK37" s="24">
        <f>BH37-BJ37+$J37</f>
        <v>5.8231608347512134E-2</v>
      </c>
      <c r="BL37" s="16">
        <f>BK37/$D37</f>
        <v>5.8231608347512134E-2</v>
      </c>
      <c r="BM37" s="14">
        <f>BH37*$T$10</f>
        <v>28.315071679069113</v>
      </c>
      <c r="BN37" s="14">
        <f>BJ37*$M37*$U$7*$D$11</f>
        <v>0.52054126626496533</v>
      </c>
      <c r="BO37" s="14">
        <f>BM37-BN37+$K37</f>
        <v>264.07953041280416</v>
      </c>
      <c r="BP37" s="44">
        <f>BO37/$D37</f>
        <v>264.07953041280416</v>
      </c>
      <c r="BQ37" s="43">
        <f>86+15</f>
        <v>101</v>
      </c>
      <c r="BR37" s="15">
        <f>$H$3+$H$4*BQ37+$H$5*($G37/$H37)+$H$6*BQ37^2+$H$7*($G37/$H37)^2+$H$8*BQ37*($G37/$H37)+$H$9*BQ37^3+$H$10*($G37/$H37)^3+$H$11*BQ37*($G37/$H37)^2+$H$12*BQ37^2*($G37/$H37)</f>
        <v>7.4997676382165306</v>
      </c>
      <c r="BS37" s="16">
        <f>$G$37/(BR37*1000)</f>
        <v>9.7628850722580179E-3</v>
      </c>
      <c r="BT37" s="15">
        <f>BR37</f>
        <v>7.4997676382165306</v>
      </c>
      <c r="BU37" s="15">
        <f>($I37/BT37)/1000</f>
        <v>1.3376049723060276E-3</v>
      </c>
      <c r="BV37" s="24">
        <f>BS37-BU37+$J37</f>
        <v>5.8591946766618663E-2</v>
      </c>
      <c r="BW37" s="16">
        <f>BV37/$D37</f>
        <v>5.8591946766618663E-2</v>
      </c>
      <c r="BX37" s="14">
        <f>BS37*$U$10</f>
        <v>28.969358992156632</v>
      </c>
      <c r="BY37" s="14">
        <f>BU37*$M37*$V$7*$D$11</f>
        <v>0.56259789316099773</v>
      </c>
      <c r="BZ37" s="14">
        <f>BX37-BY37+$K37</f>
        <v>264.69176109899564</v>
      </c>
      <c r="CA37" s="44">
        <f>BZ37/$D37</f>
        <v>264.69176109899564</v>
      </c>
      <c r="CB37" s="43">
        <f>83+15</f>
        <v>98</v>
      </c>
      <c r="CC37" s="15">
        <f>$H$3+$H$4*CB37+$H$5*($G37/$H37)+$H$6*CB37^2+$H$7*($G37/$H37)^2+$H$8*CB37*($G37/$H37)+$H$9*CB37^3+$H$10*($G37/$H37)^3+$H$11*CB37*($G37/$H37)^2+$H$12*CB37^2*($G37/$H37)</f>
        <v>7.8348543036092488</v>
      </c>
      <c r="CD37" s="15">
        <f>$G$37/(CC37*1000)</f>
        <v>9.345339004813184E-3</v>
      </c>
      <c r="CE37" s="15">
        <f>CC37</f>
        <v>7.8348543036092488</v>
      </c>
      <c r="CF37" s="15">
        <f>($I37/CE37)/1000</f>
        <v>1.2803973239677211E-3</v>
      </c>
      <c r="CG37" s="24">
        <f>CD37-CF37+$J37</f>
        <v>5.8231608347512134E-2</v>
      </c>
      <c r="CH37" s="16">
        <f>CG37/$D37</f>
        <v>5.8231608347512134E-2</v>
      </c>
      <c r="CI37" s="14">
        <f>CD37*$V$10</f>
        <v>28.68901182307442</v>
      </c>
      <c r="CJ37" s="14">
        <f>CF37*$M37*$W$7*$D$11</f>
        <v>0.54417882380151417</v>
      </c>
      <c r="CK37" s="14">
        <f>CI37-CJ37+$K37</f>
        <v>264.42983299927295</v>
      </c>
      <c r="CL37" s="44">
        <f>CK37/$D37</f>
        <v>264.42983299927295</v>
      </c>
      <c r="CM37" s="43">
        <f>89+15</f>
        <v>104</v>
      </c>
      <c r="CN37" s="15">
        <f>$H$3+$H$4*CM37+$H$5*($G37/$H37)+$H$6*CM37^2+$H$7*($G37/$H37)^2+$H$8*CM37*($G37/$H37)+$H$9*CM37^3+$H$10*($G37/$H37)^3+$H$11*CM37*($G37/$H37)^2+$H$12*CM37^2*($G37/$H37)</f>
        <v>7.1731404854674166</v>
      </c>
      <c r="CO37" s="15">
        <f>$G$37/(CN37*1000)</f>
        <v>1.0207435595174575E-2</v>
      </c>
      <c r="CP37" s="15">
        <f>CN37</f>
        <v>7.1731404854674166</v>
      </c>
      <c r="CQ37" s="15">
        <f>($I37/CP37)/1000</f>
        <v>1.398512479205205E-3</v>
      </c>
      <c r="CR37" s="24">
        <f>CO37-CQ37+$J37</f>
        <v>5.8975589782636041E-2</v>
      </c>
      <c r="CS37" s="16">
        <f>CR37/$D37</f>
        <v>5.8975589782636041E-2</v>
      </c>
      <c r="CT37" s="14">
        <f>CO37*$W$10</f>
        <v>31.663858097224665</v>
      </c>
      <c r="CU37" s="14">
        <f>CQ37*$M37*$X$7*$D$11</f>
        <v>0.59177313425193856</v>
      </c>
      <c r="CV37" s="14">
        <f>CT37-CU37+$K37</f>
        <v>267.35708496297275</v>
      </c>
      <c r="CW37" s="44">
        <f>CV37/$D37</f>
        <v>267.35708496297275</v>
      </c>
      <c r="CX37" s="43">
        <f>96+15</f>
        <v>111</v>
      </c>
      <c r="CY37" s="15">
        <f>$H$3+$H$4*CX37+$H$5*($G37/$H37)+$H$6*CX37^2+$H$7*($G37/$H37)^2+$H$8*CX37*($G37/$H37)+$H$9*CX37^3+$H$10*($G37/$H37)^3+$H$11*CX37*($G37/$H37)^2+$H$12*CX37^2*($G37/$H37)</f>
        <v>6.4425744504920166</v>
      </c>
      <c r="CZ37" s="15">
        <f>$G$37/(CY37*1000)</f>
        <v>1.1364924081700943E-2</v>
      </c>
      <c r="DA37" s="15">
        <f>CY37</f>
        <v>6.4425744504920166</v>
      </c>
      <c r="DB37" s="15">
        <f>($I37/DA37)/1000</f>
        <v>1.5570990387627024E-3</v>
      </c>
      <c r="DC37" s="24">
        <f>CZ37-DB37+$J37</f>
        <v>5.9974491709604914E-2</v>
      </c>
      <c r="DD37" s="16">
        <f>DC37/$D37</f>
        <v>5.9974491709604914E-2</v>
      </c>
      <c r="DE37" s="14">
        <f>CZ37*$X$10</f>
        <v>35.099888765549863</v>
      </c>
      <c r="DF37" s="14">
        <f>DB37*$M37*$Y$7*$D$11</f>
        <v>0.6522532679848787</v>
      </c>
      <c r="DG37" s="14">
        <f>DE37-DF37+$K37</f>
        <v>270.73263549756501</v>
      </c>
      <c r="DH37" s="44">
        <f>DG37/$D37</f>
        <v>270.73263549756501</v>
      </c>
      <c r="DI37" s="43">
        <f>100+15</f>
        <v>115</v>
      </c>
      <c r="DJ37" s="15">
        <f>$H$3+$H$4*DI37+$H$5*($G37/$H37)+$H$6*DI37^2+$H$7*($G37/$H37)^2+$H$8*DI37*($G37/$H37)+$H$9*DI37^3+$H$10*($G37/$H37)^3+$H$11*DI37*($G37/$H37)^2+$H$12*DI37^2*($G37/$H37)</f>
        <v>6.044045271560071</v>
      </c>
      <c r="DK37" s="15">
        <f>$G$37/(DJ37*1000)</f>
        <v>1.2114298657734703E-2</v>
      </c>
      <c r="DL37" s="15">
        <f>DJ37</f>
        <v>6.044045271560071</v>
      </c>
      <c r="DM37" s="15">
        <f>($I37/DL37)/1000</f>
        <v>1.6597702421624822E-3</v>
      </c>
      <c r="DN37" s="24">
        <f>DK37-DM37+$J37</f>
        <v>6.0621195082238892E-2</v>
      </c>
      <c r="DO37" s="16">
        <f>DN37/$D37</f>
        <v>6.0621195082238892E-2</v>
      </c>
      <c r="DP37" s="14">
        <f>DK37*$Y$10</f>
        <v>37.038091968767155</v>
      </c>
      <c r="DQ37" s="14">
        <f>DM37*$M37*$Z$7*$D$11</f>
        <v>0.6878066707457231</v>
      </c>
      <c r="DR37" s="14">
        <f>DP37-DQ37+$K37</f>
        <v>272.63528529802147</v>
      </c>
      <c r="DS37" s="44">
        <f>DR37/$D37</f>
        <v>272.63528529802147</v>
      </c>
      <c r="DT37" s="43">
        <f>104+15</f>
        <v>119</v>
      </c>
      <c r="DU37" s="15">
        <f>$H$3+$H$4*DT37+$H$5*($G37/$H37)+$H$6*DT37^2+$H$7*($G37/$H37)^2+$H$8*DT37*($G37/$H37)+$H$9*DT37^3+$H$10*($G37/$H37)^3+$H$11*DT37*($G37/$H37)^2+$H$12*DT37^2*($G37/$H37)</f>
        <v>5.6585848385945274</v>
      </c>
      <c r="DV37" s="15">
        <f>$G$37/(DU37*1000)</f>
        <v>1.2939519616486669E-2</v>
      </c>
      <c r="DW37" s="15">
        <f>DU37</f>
        <v>5.6585848385945274</v>
      </c>
      <c r="DX37" s="15">
        <f>($I37/DW37)/1000</f>
        <v>1.7728330969956673E-3</v>
      </c>
      <c r="DY37" s="24">
        <f>DV37-DX37+$J37</f>
        <v>6.1333353186157673E-2</v>
      </c>
      <c r="DZ37" s="16">
        <f>DY37/$D37</f>
        <v>6.1333353186157673E-2</v>
      </c>
      <c r="EA37" s="14">
        <f>DV37*$Z$10</f>
        <v>39.136939896765227</v>
      </c>
      <c r="EB37" s="14">
        <f>DX37*$M37*$AA$7*$D$11</f>
        <v>0.70833853559927518</v>
      </c>
      <c r="EC37" s="14">
        <f>EA37-EB37+$K37</f>
        <v>274.71360136116596</v>
      </c>
      <c r="ED37" s="44">
        <f>EC37/$D37</f>
        <v>274.71360136116596</v>
      </c>
      <c r="EE37" s="43">
        <f>100+15</f>
        <v>115</v>
      </c>
      <c r="EF37" s="15">
        <f>$H$3+$H$4*EE37+$H$5*($G37/$H37)+$H$6*EE37^2+$H$7*($G37/$H37)^2+$H$8*EE37*($G37/$H37)+$H$9*EE37^3+$H$10*($G37/$H37)^3+$H$11*EE37*($G37/$H37)^2+$H$12*EE37^2*($G37/$H37)</f>
        <v>6.044045271560071</v>
      </c>
      <c r="EG37" s="15">
        <f>$G$37/(EF37*1000)</f>
        <v>1.2114298657734703E-2</v>
      </c>
      <c r="EH37" s="15">
        <f>EF37</f>
        <v>6.044045271560071</v>
      </c>
      <c r="EI37" s="15">
        <f>($I37/EH37)/1000</f>
        <v>1.6597702421624822E-3</v>
      </c>
      <c r="EJ37" s="24">
        <f>EG37-EI37+$J37</f>
        <v>6.0621195082238892E-2</v>
      </c>
      <c r="EK37" s="16">
        <f>EJ37/$D37</f>
        <v>6.0621195082238892E-2</v>
      </c>
      <c r="EL37" s="14">
        <f>EG37*$AA$10</f>
        <v>35.328207043607641</v>
      </c>
      <c r="EM37" s="14">
        <f>EI37*$M37*$AB$7*$D$11</f>
        <v>0.67358461116699686</v>
      </c>
      <c r="EN37" s="14">
        <f>EL37-EM37+$K37</f>
        <v>270.93962243244067</v>
      </c>
      <c r="EO37" s="44">
        <f>EN37/$D37</f>
        <v>270.93962243244067</v>
      </c>
      <c r="EP37" s="43">
        <f>101+15</f>
        <v>116</v>
      </c>
      <c r="EQ37" s="15">
        <f>$H$3+$H$4*EP37+$H$5*($G37/$H37)+$H$6*EP37^2+$H$7*($G37/$H37)^2+$H$8*EP37*($G37/$H37)+$H$9*EP37^3+$H$10*($G37/$H37)^3+$H$11*EP37*($G37/$H37)^2+$H$12*EP37^2*($G37/$H37)</f>
        <v>5.9464769593176205</v>
      </c>
      <c r="ER37" s="15">
        <f>$G$37/(EQ37*1000)</f>
        <v>1.2313067051545445E-2</v>
      </c>
      <c r="ES37" s="15">
        <f>EQ37</f>
        <v>5.9464769593176205</v>
      </c>
      <c r="ET37" s="15">
        <f>($I37/ES37)/1000</f>
        <v>1.6870033387246894E-3</v>
      </c>
      <c r="EU37" s="24">
        <f>ER37-ET37+$J37</f>
        <v>6.0792730379487431E-2</v>
      </c>
      <c r="EV37" s="16">
        <f>EU37/$D37</f>
        <v>6.0792730379487431E-2</v>
      </c>
      <c r="EW37" s="14">
        <f>ER37*$AB$10</f>
        <v>36.472096606623104</v>
      </c>
      <c r="EX37" s="14">
        <f>ET37*$M37*$AC$7*$D$11</f>
        <v>0.70039410449555817</v>
      </c>
      <c r="EY37" s="14">
        <f>EW37-EX37+$K37</f>
        <v>272.05670250212756</v>
      </c>
      <c r="EZ37" s="44">
        <f>EY37/$D37</f>
        <v>272.05670250212756</v>
      </c>
      <c r="FA37" s="43">
        <f>103+15</f>
        <v>118</v>
      </c>
      <c r="FB37" s="15">
        <f>$H$3+$H$4*FA37+$H$5*($G37/$H37)+$H$6*FA37^2+$H$7*($G37/$H37)^2+$H$8*FA37*($G37/$H37)+$H$9*FA37^3+$H$10*($G37/$H37)^3+$H$11*FA37*($G37/$H37)^2+$H$12*FA37^2*($G37/$H37)</f>
        <v>5.7537555392081599</v>
      </c>
      <c r="FC37" s="15">
        <f>$G$37/(FB37*1000)</f>
        <v>1.2725491902046381E-2</v>
      </c>
      <c r="FD37" s="15">
        <f>FB37</f>
        <v>5.7537555392081599</v>
      </c>
      <c r="FE37" s="15">
        <f>($I37/FD37)/1000</f>
        <v>1.7435093332795375E-3</v>
      </c>
      <c r="FF37" s="24">
        <f>FC37-FE37+$J37</f>
        <v>6.1148649235433519E-2</v>
      </c>
      <c r="FG37" s="16">
        <f>FF37/$D37</f>
        <v>6.1148649235433519E-2</v>
      </c>
      <c r="FH37" s="14">
        <f>FC37*$AC$10</f>
        <v>38.561278186214153</v>
      </c>
      <c r="FI37" s="14">
        <f>FE37*$M37*$AD$7*$D$11</f>
        <v>0.71593415534665972</v>
      </c>
      <c r="FJ37" s="14">
        <f>FH37-FI37+$K37</f>
        <v>274.13034403086749</v>
      </c>
      <c r="FK37" s="44">
        <f>FJ37/$D37</f>
        <v>274.13034403086749</v>
      </c>
      <c r="FL37" s="43">
        <f>113+15</f>
        <v>128</v>
      </c>
      <c r="FM37" s="15">
        <f>$H$3+$H$4*FL37+$H$5*($G37/$H37)+$H$6*FL37^2+$H$7*($G37/$H37)^2+$H$8*FL37*($G37/$H37)+$H$9*FL37^3+$H$10*($G37/$H37)^3+$H$11*FL37*($G37/$H37)^2+$H$12*FL37^2*($G37/$H37)</f>
        <v>4.8361654691082965</v>
      </c>
      <c r="FN37" s="15">
        <f>$G$37/(FM37*1000)</f>
        <v>1.5139963673337318E-2</v>
      </c>
      <c r="FO37" s="15">
        <f>FM37</f>
        <v>4.8361654691082965</v>
      </c>
      <c r="FP37" s="15">
        <f>($I37/FO37)/1000</f>
        <v>2.0743141540746201E-3</v>
      </c>
      <c r="FQ37" s="24">
        <f>FN37-FP37+$J37</f>
        <v>6.3232316185929366E-2</v>
      </c>
      <c r="FR37" s="16">
        <f>FQ37/$D37</f>
        <v>6.3232316185929366E-2</v>
      </c>
      <c r="FS37" s="14">
        <f>FN37*$AD$10</f>
        <v>45.375763005654839</v>
      </c>
      <c r="FT37" s="14">
        <f>FP37*$M37*$AE$7*$D$11</f>
        <v>0.93991769592642449</v>
      </c>
      <c r="FU37" s="14">
        <f>FS37-FT37+$K37</f>
        <v>280.72084530972842</v>
      </c>
      <c r="FV37" s="44">
        <f>FU37/$D37</f>
        <v>280.72084530972842</v>
      </c>
      <c r="FW37" s="43">
        <f>85+15</f>
        <v>100</v>
      </c>
      <c r="FX37" s="15">
        <f>$H$3+$H$4*FW37+$H$5*($G37/$H37)+$H$6*FW37^2+$H$7*($G37/$H37)^2+$H$8*FW37*($G37/$H37)+$H$9*FW37^3+$H$10*($G37/$H37)^3+$H$11*FW37*($G37/$H37)^2+$H$12*FW37^2*($G37/$H37)</f>
        <v>7.6105115190003954</v>
      </c>
      <c r="FY37" s="15">
        <f>$G$37/(FX37*1000)</f>
        <v>9.6208210627825134E-3</v>
      </c>
      <c r="FZ37" s="15">
        <f>FX37</f>
        <v>7.6105115190003954</v>
      </c>
      <c r="GA37" s="15">
        <f>($I37/FZ37)/1000</f>
        <v>1.3181408974906701E-3</v>
      </c>
      <c r="GB37" s="24">
        <f>FY37-GA37+$J37</f>
        <v>5.8469346831958514E-2</v>
      </c>
      <c r="GC37" s="16">
        <f>GB37/$D37</f>
        <v>5.8469346831958514E-2</v>
      </c>
      <c r="GD37" s="14">
        <f>FY37*$AE$10</f>
        <v>31.818355885745479</v>
      </c>
      <c r="GE37" s="14">
        <f>GA37*$M37*$AF$7*$D$11</f>
        <v>0.49918311116140607</v>
      </c>
      <c r="GF37" s="14">
        <f>GD37-GE37+$K37</f>
        <v>267.60417277458407</v>
      </c>
      <c r="GG37" s="44">
        <f>GF37/$D37</f>
        <v>267.60417277458407</v>
      </c>
    </row>
    <row r="38" spans="2:202" ht="13.8" x14ac:dyDescent="0.25">
      <c r="B38" s="31" t="s">
        <v>153</v>
      </c>
      <c r="C38" s="3" t="s">
        <v>156</v>
      </c>
      <c r="D38" s="3">
        <v>1</v>
      </c>
      <c r="E38" s="3">
        <v>0</v>
      </c>
      <c r="F38" s="3">
        <f>E38-10</f>
        <v>-10</v>
      </c>
      <c r="G38" s="11">
        <f>'Cooling Load'!D33</f>
        <v>73.219369520547943</v>
      </c>
      <c r="H38" s="14">
        <f>G38*1.15</f>
        <v>84.202274948630134</v>
      </c>
      <c r="I38" s="14">
        <f>'Cooling Load'!I33</f>
        <v>10.031726484018265</v>
      </c>
      <c r="J38" s="110">
        <f>'Cooling Load'!I20</f>
        <v>5.0166666666666672E-2</v>
      </c>
      <c r="K38" s="109">
        <f>'Cooling Load'!I26</f>
        <v>236.28500000000003</v>
      </c>
      <c r="L38" s="98">
        <f>I38/H38</f>
        <v>0.11913842577458138</v>
      </c>
      <c r="M38" s="97">
        <f>(1-(1-L38))*(1-$E$8)</f>
        <v>0.1072245831971232</v>
      </c>
      <c r="N38" s="43">
        <f>69+10</f>
        <v>79</v>
      </c>
      <c r="O38" s="15">
        <f>$I$3+$I$4*N38+$I$5*($G38/$H38)+$I$6*N38^2+$I$7*($G38/$H38)^2+$I$8*N38*($G38/$H38)+$I$9*N38^3+$I$10*($G38/$H38)^3+$I$11*N38*($G38/$H38)^2+$I$12*N38^2*($G38/$H38)</f>
        <v>7.7386212864169197</v>
      </c>
      <c r="P38" s="15">
        <f>$G$38/(O38*1000)</f>
        <v>9.4615522339961209E-3</v>
      </c>
      <c r="Q38" s="15">
        <f>O38</f>
        <v>7.7386212864169197</v>
      </c>
      <c r="R38" s="15">
        <f>($I38/Q38)/1000</f>
        <v>1.2963196043236122E-3</v>
      </c>
      <c r="S38" s="24">
        <f>P38-R38+$J38</f>
        <v>5.8331899296339182E-2</v>
      </c>
      <c r="T38" s="16">
        <f>S38/$D38</f>
        <v>5.8331899296339182E-2</v>
      </c>
      <c r="U38" s="14">
        <f>P38*$Q$11</f>
        <v>25.898570903367524</v>
      </c>
      <c r="V38" s="14">
        <f>R38*$M38*$Q$7*$E$11</f>
        <v>0.4861554910786941</v>
      </c>
      <c r="W38" s="14">
        <f>U38-V38+$K38</f>
        <v>261.69741541228888</v>
      </c>
      <c r="X38" s="44">
        <f>W38/$D38</f>
        <v>261.69741541228888</v>
      </c>
      <c r="Y38" s="43">
        <f>96+10</f>
        <v>106</v>
      </c>
      <c r="Z38" s="15">
        <f>$I$3+$I$4*Y38+$I$5*($G38/$H38)+$I$6*Y38^2+$I$7*($G38/$H38)^2+$I$8*Y38*($G38/$H38)+$I$9*Y38^3+$I$10*($G38/$H38)^3+$I$11*Y38*($G38/$H38)^2+$I$12*Y38^2*($G38/$H38)</f>
        <v>4.9787525693054091</v>
      </c>
      <c r="AA38" s="15">
        <f>$G$38/(Z38*1000)</f>
        <v>1.4706368412833749E-2</v>
      </c>
      <c r="AB38" s="15">
        <f>Z38</f>
        <v>4.9787525693054091</v>
      </c>
      <c r="AC38" s="15">
        <f>($I38/AB38)/1000</f>
        <v>2.0149076188009482E-3</v>
      </c>
      <c r="AD38" s="24">
        <f>AA38-AC38+$J38</f>
        <v>6.2858127460699478E-2</v>
      </c>
      <c r="AE38" s="16">
        <f>AD38/$D38</f>
        <v>6.2858127460699478E-2</v>
      </c>
      <c r="AF38" s="14">
        <f>AA38*$R$11</f>
        <v>40.549466750055871</v>
      </c>
      <c r="AG38" s="14">
        <f>AC38*$M38*$R$7*$E$11</f>
        <v>0.76117504685516513</v>
      </c>
      <c r="AH38" s="14">
        <f>AF38-AG38+$K38</f>
        <v>276.07329170320071</v>
      </c>
      <c r="AI38" s="44">
        <f>AH38/$D38</f>
        <v>276.07329170320071</v>
      </c>
      <c r="AJ38" s="43">
        <f>89+10</f>
        <v>99</v>
      </c>
      <c r="AK38" s="15">
        <f>$I$3+$I$4*AJ38+$I$5*($G38/$H38)+$I$6*AJ38^2+$I$7*($G38/$H38)^2+$I$8*AJ38*($G38/$H38)+$I$9*AJ38^3+$I$10*($G38/$H38)^3+$I$11*AJ38*($G38/$H38)^2+$I$12*AJ38^2*($G38/$H38)</f>
        <v>5.5747757160485607</v>
      </c>
      <c r="AL38" s="15">
        <f>$G$38/(AK38*1000)</f>
        <v>1.3134047583253507E-2</v>
      </c>
      <c r="AM38" s="15">
        <f>AK38</f>
        <v>5.5747757160485607</v>
      </c>
      <c r="AN38" s="15">
        <f>($I38/AM38)/1000</f>
        <v>1.7994852160848583E-3</v>
      </c>
      <c r="AO38" s="24">
        <f>AL38-AN38+$J38</f>
        <v>6.1501229033835321E-2</v>
      </c>
      <c r="AP38" s="16">
        <f>AO38/$D38</f>
        <v>6.1501229033835321E-2</v>
      </c>
      <c r="AQ38" s="14">
        <f>AL38*$Q$11</f>
        <v>35.95108436445517</v>
      </c>
      <c r="AR38" s="14">
        <f>AN38*$M38*$S$7*$E$11</f>
        <v>0.69110066528813663</v>
      </c>
      <c r="AS38" s="14">
        <f>AQ38-AR38+$K38</f>
        <v>271.54498369916706</v>
      </c>
      <c r="AT38" s="44">
        <f>AS38/$D38</f>
        <v>271.54498369916706</v>
      </c>
      <c r="AU38" s="43">
        <f>88+10</f>
        <v>98</v>
      </c>
      <c r="AV38" s="15">
        <f>$I$3+$I$4*AU38+$I$5*($G38/$H38)+$I$6*AU38^2+$I$7*($G38/$H38)^2+$I$8*AU38*($G38/$H38)+$I$9*AU38^3+$I$10*($G38/$H38)^3+$I$11*AU38*($G38/$H38)^2+$I$12*AU38^2*($G38/$H38)</f>
        <v>5.665598965208031</v>
      </c>
      <c r="AW38" s="178">
        <f>$G$38/(AV38*1000)</f>
        <v>1.2923500228339839E-2</v>
      </c>
      <c r="AX38" s="15">
        <f>AV38</f>
        <v>5.665598965208031</v>
      </c>
      <c r="AY38" s="15">
        <f>($I38/AX38)/1000</f>
        <v>1.7706382936071292E-3</v>
      </c>
      <c r="AZ38" s="24">
        <f>AW38-AY38+$J38</f>
        <v>6.131952860139938E-2</v>
      </c>
      <c r="BA38" s="16">
        <f>AZ38/$D38</f>
        <v>6.131952860139938E-2</v>
      </c>
      <c r="BB38" s="14">
        <f>AW38*$S$11</f>
        <v>36.22625878728158</v>
      </c>
      <c r="BC38" s="14">
        <f>AY38*$M38*$T$7*$E$11</f>
        <v>0.69633954516097507</v>
      </c>
      <c r="BD38" s="14">
        <f>BB38-BC38+$K38</f>
        <v>271.81491924212065</v>
      </c>
      <c r="BE38" s="44">
        <f>BD38/$D38</f>
        <v>271.81491924212065</v>
      </c>
      <c r="BF38" s="43">
        <f>83+10</f>
        <v>93</v>
      </c>
      <c r="BG38" s="15">
        <f>$I$3+$I$4*BF38+$I$5*($G38/$H38)+$I$6*BF38^2+$I$7*($G38/$H38)^2+$I$8*BF38*($G38/$H38)+$I$9*BF38^3+$I$10*($G38/$H38)^3+$I$11*BF38*($G38/$H38)^2+$I$12*BF38^2*($G38/$H38)</f>
        <v>6.1439585132971386</v>
      </c>
      <c r="BH38" s="15">
        <f>$G$38/(BG38*1000)</f>
        <v>1.1917295561498667E-2</v>
      </c>
      <c r="BI38" s="15">
        <f>BG38</f>
        <v>6.1439585132971386</v>
      </c>
      <c r="BJ38" s="15">
        <f>($I38/BI38)/1000</f>
        <v>1.6327790075904606E-3</v>
      </c>
      <c r="BK38" s="24">
        <f>BH38-BJ38+$J38</f>
        <v>6.0451183220574876E-2</v>
      </c>
      <c r="BL38" s="16">
        <f>BK38/$D38</f>
        <v>6.0451183220574876E-2</v>
      </c>
      <c r="BM38" s="14">
        <f>BH38*$T$11</f>
        <v>34.207333345940171</v>
      </c>
      <c r="BN38" s="14">
        <f>BJ38*$M38*$U$7*$E$11</f>
        <v>0.62886397807024286</v>
      </c>
      <c r="BO38" s="14">
        <f>BM38-BN38+$K38</f>
        <v>269.86346936786993</v>
      </c>
      <c r="BP38" s="44">
        <f>BO38/$D38</f>
        <v>269.86346936786993</v>
      </c>
      <c r="BQ38" s="43">
        <f>86+10</f>
        <v>96</v>
      </c>
      <c r="BR38" s="15">
        <f>$I$3+$I$4*BQ38+$I$5*($G38/$H38)+$I$6*BQ38^2+$I$7*($G38/$H38)^2+$I$8*BQ38*($G38/$H38)+$I$9*BQ38^3+$I$10*($G38/$H38)^3+$I$11*BQ38*($G38/$H38)^2+$I$12*BQ38^2*($G38/$H38)</f>
        <v>5.851957774803612</v>
      </c>
      <c r="BS38" s="16">
        <f>$G$38/(BR38*1000)</f>
        <v>1.251194426518314E-2</v>
      </c>
      <c r="BT38" s="15">
        <f>BR38</f>
        <v>5.851957774803612</v>
      </c>
      <c r="BU38" s="15">
        <f>($I38/BT38)/1000</f>
        <v>1.7142513446032038E-3</v>
      </c>
      <c r="BV38" s="24">
        <f>BS38-BU38+$J38</f>
        <v>6.0964359587246608E-2</v>
      </c>
      <c r="BW38" s="16">
        <f>BV38/$D38</f>
        <v>6.0964359587246608E-2</v>
      </c>
      <c r="BX38" s="14">
        <f>BS38*$U$11</f>
        <v>35.172595221351543</v>
      </c>
      <c r="BY38" s="14">
        <f>BU38*$M38*$V$7*$E$11</f>
        <v>0.68306751191472681</v>
      </c>
      <c r="BZ38" s="14">
        <f>BX38-BY38+$K38</f>
        <v>270.77452770943682</v>
      </c>
      <c r="CA38" s="44">
        <f>BZ38/$D38</f>
        <v>270.77452770943682</v>
      </c>
      <c r="CB38" s="43">
        <f>83+10</f>
        <v>93</v>
      </c>
      <c r="CC38" s="15">
        <f>$I$3+$I$4*CB38+$I$5*($G38/$H38)+$I$6*CB38^2+$I$7*($G38/$H38)^2+$I$8*CB38*($G38/$H38)+$I$9*CB38^3+$I$10*($G38/$H38)^3+$I$11*CB38*($G38/$H38)^2+$I$12*CB38^2*($G38/$H38)</f>
        <v>6.1439585132971386</v>
      </c>
      <c r="CD38" s="15">
        <f>$G$38/(CC38*1000)</f>
        <v>1.1917295561498667E-2</v>
      </c>
      <c r="CE38" s="15">
        <f>CC38</f>
        <v>6.1439585132971386</v>
      </c>
      <c r="CF38" s="15">
        <f>($I38/CE38)/1000</f>
        <v>1.6327790075904606E-3</v>
      </c>
      <c r="CG38" s="24">
        <f>CD38-CF38+$J38</f>
        <v>6.0451183220574876E-2</v>
      </c>
      <c r="CH38" s="16">
        <f>CG38/$D38</f>
        <v>6.0451183220574876E-2</v>
      </c>
      <c r="CI38" s="14">
        <f>CD38*$V$11</f>
        <v>34.65908905054868</v>
      </c>
      <c r="CJ38" s="14">
        <f>CF38*$M38*$W$7*$E$11</f>
        <v>0.65742042388472677</v>
      </c>
      <c r="CK38" s="14">
        <f>CI38-CJ38+$K38</f>
        <v>270.28666862666398</v>
      </c>
      <c r="CL38" s="44">
        <f>CK38/$D38</f>
        <v>270.28666862666398</v>
      </c>
      <c r="CM38" s="43">
        <f>89+10</f>
        <v>99</v>
      </c>
      <c r="CN38" s="15">
        <f>$I$3+$I$4*CM38+$I$5*($G38/$H38)+$I$6*CM38^2+$I$7*($G38/$H38)^2+$I$8*CM38*($G38/$H38)+$I$9*CM38^3+$I$10*($G38/$H38)^3+$I$11*CM38*($G38/$H38)^2+$I$12*CM38^2*($G38/$H38)</f>
        <v>5.5747757160485607</v>
      </c>
      <c r="CO38" s="15">
        <f>$G$38/(CN38*1000)</f>
        <v>1.3134047583253507E-2</v>
      </c>
      <c r="CP38" s="15">
        <f>CN38</f>
        <v>5.5747757160485607</v>
      </c>
      <c r="CQ38" s="15">
        <f>($I38/CP38)/1000</f>
        <v>1.7994852160848583E-3</v>
      </c>
      <c r="CR38" s="24">
        <f>CO38-CQ38+$J38</f>
        <v>6.1501229033835321E-2</v>
      </c>
      <c r="CS38" s="16">
        <f>CR38/$D38</f>
        <v>6.1501229033835321E-2</v>
      </c>
      <c r="CT38" s="14">
        <f>CO38*$W$11</f>
        <v>38.597988437642485</v>
      </c>
      <c r="CU38" s="14">
        <f>CQ38*$M38*$X$7*$E$11</f>
        <v>0.72136669269515863</v>
      </c>
      <c r="CV38" s="14">
        <f>CT38-CU38+$K38</f>
        <v>274.16162174494735</v>
      </c>
      <c r="CW38" s="44">
        <f>CV38/$D38</f>
        <v>274.16162174494735</v>
      </c>
      <c r="CX38" s="43">
        <f>96+10</f>
        <v>106</v>
      </c>
      <c r="CY38" s="15">
        <f>$I$3+$I$4*CX38+$I$5*($G38/$H38)+$I$6*CX38^2+$I$7*($G38/$H38)^2+$I$8*CX38*($G38/$H38)+$I$9*CX38^3+$I$10*($G38/$H38)^3+$I$11*CX38*($G38/$H38)^2+$I$12*CX38^2*($G38/$H38)</f>
        <v>4.9787525693054091</v>
      </c>
      <c r="CZ38" s="15">
        <f>$G$38/(CY38*1000)</f>
        <v>1.4706368412833749E-2</v>
      </c>
      <c r="DA38" s="15">
        <f>CY38</f>
        <v>4.9787525693054091</v>
      </c>
      <c r="DB38" s="15">
        <f>($I38/DA38)/1000</f>
        <v>2.0149076188009482E-3</v>
      </c>
      <c r="DC38" s="24">
        <f>CZ38-DB38+$J38</f>
        <v>6.2858127460699478E-2</v>
      </c>
      <c r="DD38" s="16">
        <f>DC38/$D38</f>
        <v>6.2858127460699478E-2</v>
      </c>
      <c r="DE38" s="14">
        <f>CZ38*$X$11</f>
        <v>43.029227245472001</v>
      </c>
      <c r="DF38" s="14">
        <f>DB38*$M38*$Y$7*$E$11</f>
        <v>0.79960236561403286</v>
      </c>
      <c r="DG38" s="14">
        <f>DE38-DF38+$K38</f>
        <v>278.51462487985799</v>
      </c>
      <c r="DH38" s="44">
        <f>DG38/$D38</f>
        <v>278.51462487985799</v>
      </c>
      <c r="DI38" s="43">
        <f>100+10</f>
        <v>110</v>
      </c>
      <c r="DJ38" s="15">
        <f>$I$3+$I$4*DI38+$I$5*($G38/$H38)+$I$6*DI38^2+$I$7*($G38/$H38)^2+$I$8*DI38*($G38/$H38)+$I$9*DI38^3+$I$10*($G38/$H38)^3+$I$11*DI38*($G38/$H38)^2+$I$12*DI38^2*($G38/$H38)</f>
        <v>4.6653923073913646</v>
      </c>
      <c r="DK38" s="15">
        <f>$G$38/(DJ38*1000)</f>
        <v>1.5694150608630865E-2</v>
      </c>
      <c r="DL38" s="15">
        <f>DJ38</f>
        <v>4.6653923073913646</v>
      </c>
      <c r="DM38" s="15">
        <f>($I38/DL38)/1000</f>
        <v>2.1502428569886902E-3</v>
      </c>
      <c r="DN38" s="24">
        <f>DK38-DM38+$J38</f>
        <v>6.3710574418308852E-2</v>
      </c>
      <c r="DO38" s="16">
        <f>DN38/$D38</f>
        <v>6.3710574418308852E-2</v>
      </c>
      <c r="DP38" s="14">
        <f>DK38*$Y$11</f>
        <v>45.457657237458982</v>
      </c>
      <c r="DQ38" s="14">
        <f>DM38*$M38*$Z$7*$E$11</f>
        <v>0.84416011253393941</v>
      </c>
      <c r="DR38" s="14">
        <f>DP38-DQ38+$K38</f>
        <v>280.89849712492509</v>
      </c>
      <c r="DS38" s="44">
        <f>DR38/$D38</f>
        <v>280.89849712492509</v>
      </c>
      <c r="DT38" s="43">
        <f>104+10</f>
        <v>114</v>
      </c>
      <c r="DU38" s="15">
        <f>$I$3+$I$4*DT38+$I$5*($G38/$H38)+$I$6*DT38^2+$I$7*($G38/$H38)^2+$I$8*DT38*($G38/$H38)+$I$9*DT38^3+$I$10*($G38/$H38)^3+$I$11*DT38*($G38/$H38)^2+$I$12*DT38^2*($G38/$H38)</f>
        <v>4.3681956261112758</v>
      </c>
      <c r="DV38" s="15">
        <f>$G$38/(DU38*1000)</f>
        <v>1.6761925469379779E-2</v>
      </c>
      <c r="DW38" s="15">
        <f>DU38</f>
        <v>4.3681956261112758</v>
      </c>
      <c r="DX38" s="15">
        <f>($I38/DW38)/1000</f>
        <v>2.2965378253786829E-3</v>
      </c>
      <c r="DY38" s="24">
        <f>DV38-DX38+$J38</f>
        <v>6.4632054310667764E-2</v>
      </c>
      <c r="DZ38" s="16">
        <f>DY38/$D38</f>
        <v>6.4632054310667764E-2</v>
      </c>
      <c r="EA38" s="14">
        <f>DV38*$Z$11</f>
        <v>48.029882193901635</v>
      </c>
      <c r="EB38" s="14">
        <f>DX38*$M38*$AA$7*$E$11</f>
        <v>0.86929168473506391</v>
      </c>
      <c r="EC38" s="14">
        <f>EA38-EB38+$K38</f>
        <v>283.44559050916661</v>
      </c>
      <c r="ED38" s="44">
        <f>EC38/$D38</f>
        <v>283.44559050916661</v>
      </c>
      <c r="EE38" s="43">
        <f>100+10</f>
        <v>110</v>
      </c>
      <c r="EF38" s="15">
        <f>$I$3+$I$4*EE38+$I$5*($G38/$H38)+$I$6*EE38^2+$I$7*($G38/$H38)^2+$I$8*EE38*($G38/$H38)+$I$9*EE38^3+$I$10*($G38/$H38)^3+$I$11*EE38*($G38/$H38)^2+$I$12*EE38^2*($G38/$H38)</f>
        <v>4.6653923073913646</v>
      </c>
      <c r="EG38" s="15">
        <f>$G$38/(EF38*1000)</f>
        <v>1.5694150608630865E-2</v>
      </c>
      <c r="EH38" s="15">
        <f>EF38</f>
        <v>4.6653923073913646</v>
      </c>
      <c r="EI38" s="15">
        <f>($I38/EH38)/1000</f>
        <v>2.1502428569886902E-3</v>
      </c>
      <c r="EJ38" s="24">
        <f>EG38-EI38+$J38</f>
        <v>6.3710574418308852E-2</v>
      </c>
      <c r="EK38" s="16">
        <f>EJ38/$D38</f>
        <v>6.3710574418308852E-2</v>
      </c>
      <c r="EL38" s="14">
        <f>EG38*$AA$11</f>
        <v>43.35907821484237</v>
      </c>
      <c r="EM38" s="14">
        <f>EI38*$M38*$AB$7*$E$11</f>
        <v>0.82670506895108897</v>
      </c>
      <c r="EN38" s="14">
        <f>EL38-EM38+$K38</f>
        <v>278.81737314589128</v>
      </c>
      <c r="EO38" s="44">
        <f>EN38/$D38</f>
        <v>278.81737314589128</v>
      </c>
      <c r="EP38" s="43">
        <f>101+10</f>
        <v>111</v>
      </c>
      <c r="EQ38" s="15">
        <f>$I$3+$I$4*EP38+$I$5*($G38/$H38)+$I$6*EP38^2+$I$7*($G38/$H38)^2+$I$8*EP38*($G38/$H38)+$I$9*EP38^3+$I$10*($G38/$H38)^3+$I$11*EP38*($G38/$H38)^2+$I$12*EP38^2*($G38/$H38)</f>
        <v>4.5896914257050003</v>
      </c>
      <c r="ER38" s="15">
        <f>$G$38/(EQ38*1000)</f>
        <v>1.595300483829391E-2</v>
      </c>
      <c r="ES38" s="15">
        <f>EQ38</f>
        <v>4.5896914257050003</v>
      </c>
      <c r="ET38" s="15">
        <f>($I38/ES38)/1000</f>
        <v>2.185708265229909E-3</v>
      </c>
      <c r="EU38" s="24">
        <f>ER38-ET38+$J38</f>
        <v>6.3933963239730676E-2</v>
      </c>
      <c r="EV38" s="16">
        <f>EU38/$D38</f>
        <v>6.3933963239730676E-2</v>
      </c>
      <c r="EW38" s="14">
        <f>ER38*$AB$11</f>
        <v>44.766782960882622</v>
      </c>
      <c r="EX38" s="14">
        <f>ET38*$M38*$AC$7*$E$11</f>
        <v>0.8596816136240607</v>
      </c>
      <c r="EY38" s="14">
        <f>EW38-EX38+$K38</f>
        <v>280.19210134725859</v>
      </c>
      <c r="EZ38" s="44">
        <f>EY38/$D38</f>
        <v>280.19210134725859</v>
      </c>
      <c r="FA38" s="43">
        <f>103+10</f>
        <v>113</v>
      </c>
      <c r="FB38" s="15">
        <f>$I$3+$I$4*FA38+$I$5*($G38/$H38)+$I$6*FA38^2+$I$7*($G38/$H38)^2+$I$8*FA38*($G38/$H38)+$I$9*FA38^3+$I$10*($G38/$H38)^3+$I$11*FA38*($G38/$H38)^2+$I$12*FA38^2*($G38/$H38)</f>
        <v>4.4411385347921932</v>
      </c>
      <c r="FC38" s="15">
        <f>$G$38/(FB38*1000)</f>
        <v>1.6486621380292964E-2</v>
      </c>
      <c r="FD38" s="15">
        <f>FB38</f>
        <v>4.4411385347921932</v>
      </c>
      <c r="FE38" s="15">
        <f>($I38/FD38)/1000</f>
        <v>2.2588186352281085E-3</v>
      </c>
      <c r="FF38" s="24">
        <f>FC38-FE38+$J38</f>
        <v>6.439446941173152E-2</v>
      </c>
      <c r="FG38" s="16">
        <f>FF38/$D38</f>
        <v>6.439446941173152E-2</v>
      </c>
      <c r="FH38" s="14">
        <f>FC38*$AC$11</f>
        <v>47.32900894485379</v>
      </c>
      <c r="FI38" s="14">
        <f>FE38*$M38*$AD$7*$E$11</f>
        <v>0.8787170870918446</v>
      </c>
      <c r="FJ38" s="14">
        <f>FH38-FI38+$K38</f>
        <v>282.73529185776198</v>
      </c>
      <c r="FK38" s="44">
        <f>FJ38/$D38</f>
        <v>282.73529185776198</v>
      </c>
      <c r="FL38" s="43">
        <f>113+10</f>
        <v>123</v>
      </c>
      <c r="FM38" s="15">
        <f>$I$3+$I$4*FL38+$I$5*($G38/$H38)+$I$6*FL38^2+$I$7*($G38/$H38)^2+$I$8*FL38*($G38/$H38)+$I$9*FL38^3+$I$10*($G38/$H38)^3+$I$11*FL38*($G38/$H38)^2+$I$12*FL38^2*($G38/$H38)</f>
        <v>3.7435346003448799</v>
      </c>
      <c r="FN38" s="15">
        <f>$G$38/(FM38*1000)</f>
        <v>1.9558886810823781E-2</v>
      </c>
      <c r="FO38" s="15">
        <f>FM38</f>
        <v>3.7435346003448799</v>
      </c>
      <c r="FP38" s="15">
        <f>($I38/FO38)/1000</f>
        <v>2.679747232226483E-3</v>
      </c>
      <c r="FQ38" s="24">
        <f>FN38-FP38+$J38</f>
        <v>6.7045806245263961E-2</v>
      </c>
      <c r="FR38" s="16">
        <f>FQ38/$D38</f>
        <v>6.7045806245263961E-2</v>
      </c>
      <c r="FS38" s="14">
        <f>FN38*$AD$11</f>
        <v>55.534407831109434</v>
      </c>
      <c r="FT38" s="14">
        <f>FP38*$M38*$AE$7*$E$11</f>
        <v>1.1503447919266885</v>
      </c>
      <c r="FU38" s="14">
        <f>FS38-FT38+$K38</f>
        <v>290.66906303918279</v>
      </c>
      <c r="FV38" s="44">
        <f>FU38/$D38</f>
        <v>290.66906303918279</v>
      </c>
      <c r="FW38" s="43">
        <f>85+10</f>
        <v>95</v>
      </c>
      <c r="FX38" s="15">
        <f>$I$3+$I$4*FW38+$I$5*($G38/$H38)+$I$6*FW38^2+$I$7*($G38/$H38)^2+$I$8*FW38*($G38/$H38)+$I$9*FW38^3+$I$10*($G38/$H38)^3+$I$11*FW38*($G38/$H38)^2+$I$12*FW38^2*($G38/$H38)</f>
        <v>5.9475842346941983</v>
      </c>
      <c r="FY38" s="15">
        <f>$G$38/(FX38*1000)</f>
        <v>1.2310774699656288E-2</v>
      </c>
      <c r="FZ38" s="15">
        <f>FX38</f>
        <v>5.9475842346941983</v>
      </c>
      <c r="GA38" s="15">
        <f>($I38/FZ38)/1000</f>
        <v>1.6866892654499844E-3</v>
      </c>
      <c r="GB38" s="24">
        <f>FY38-GA38+$J38</f>
        <v>6.0790752100872973E-2</v>
      </c>
      <c r="GC38" s="16">
        <f>GB38/$D38</f>
        <v>6.0790752100872973E-2</v>
      </c>
      <c r="GD38" s="14">
        <f>FY38*$AE$11</f>
        <v>38.571798138318748</v>
      </c>
      <c r="GE38" s="14">
        <f>GA38*$M38*$AF$7*$E$11</f>
        <v>0.6051346671372666</v>
      </c>
      <c r="GF38" s="14">
        <f>GD38-GE38+$K38</f>
        <v>274.25166347118153</v>
      </c>
      <c r="GG38" s="44">
        <f>GF38/$D38</f>
        <v>274.25166347118153</v>
      </c>
    </row>
    <row r="39" spans="2:202" ht="13.8" x14ac:dyDescent="0.25">
      <c r="B39" s="167" t="s">
        <v>154</v>
      </c>
      <c r="C39" s="3" t="s">
        <v>156</v>
      </c>
      <c r="D39" s="3">
        <v>1</v>
      </c>
      <c r="E39" s="3">
        <v>38</v>
      </c>
      <c r="F39" s="3">
        <f>E39-10</f>
        <v>28</v>
      </c>
      <c r="G39" s="11">
        <f>'Cooling Load'!F33</f>
        <v>29.675498504452051</v>
      </c>
      <c r="H39" s="14">
        <f>G39*1.15</f>
        <v>34.126823280119858</v>
      </c>
      <c r="I39" s="14">
        <f>'Cooling Load'!I33</f>
        <v>10.031726484018265</v>
      </c>
      <c r="J39" s="110">
        <f>'Cooling Load'!I21</f>
        <v>1.6166666666666666E-2</v>
      </c>
      <c r="K39" s="109">
        <f>'Cooling Load'!I27</f>
        <v>76.14500000000001</v>
      </c>
      <c r="L39" s="98">
        <f>I39/H39</f>
        <v>0.29395430103985443</v>
      </c>
      <c r="M39" s="97">
        <f>(1-(1-L39))*(1-$D$8)</f>
        <v>0.27925658598786168</v>
      </c>
      <c r="N39" s="43">
        <f>69+15</f>
        <v>84</v>
      </c>
      <c r="O39" s="15">
        <f>$H$3+$H$4*N39+$H$5*($G39/$H39)+$H$6*N39^2+$H$7*($G39/$H39)^2+$H$8*N39*($G39/$H39)+$H$9*N39^3+$H$10*($G39/$H39)^3+$H$11*N39*($G39/$H39)^2+$H$12*N39^2*($G39/$H39)</f>
        <v>9.517424087669232</v>
      </c>
      <c r="P39" s="15">
        <f>$G$39/(O39*1000)</f>
        <v>3.1180178828953951E-3</v>
      </c>
      <c r="Q39" s="15">
        <f>O39</f>
        <v>9.517424087669232</v>
      </c>
      <c r="R39" s="15">
        <f>($I39/Q39)/1000</f>
        <v>1.0540379825057246E-3</v>
      </c>
      <c r="S39" s="24">
        <f>P39-R39+$J39</f>
        <v>1.8230646567056336E-2</v>
      </c>
      <c r="T39" s="16">
        <f>S39/$D39</f>
        <v>1.8230646567056336E-2</v>
      </c>
      <c r="U39" s="14">
        <f>P39*$Q$10</f>
        <v>9.0089278000502357</v>
      </c>
      <c r="V39" s="14">
        <f>R39*$M39*$Q$7*$D$11</f>
        <v>1.0295049168716965</v>
      </c>
      <c r="W39" s="14">
        <f>U39-V39+$K39</f>
        <v>84.124422883178553</v>
      </c>
      <c r="X39" s="44">
        <f>W39/$D39</f>
        <v>84.124422883178553</v>
      </c>
      <c r="Y39" s="43">
        <f>96+15</f>
        <v>111</v>
      </c>
      <c r="Z39" s="15">
        <f>$H$3+$H$4*Y39+$H$5*($G39/$H39)+$H$6*Y39^2+$H$7*($G39/$H39)^2+$H$8*Y39*($G39/$H39)+$H$9*Y39^3+$H$10*($G39/$H39)^3+$H$11*Y39*($G39/$H39)^2+$H$12*Y39^2*($G39/$H39)</f>
        <v>6.4425744504920166</v>
      </c>
      <c r="AA39" s="15">
        <f>$G$39/(Z39*1000)</f>
        <v>4.6061553083310888E-3</v>
      </c>
      <c r="AB39" s="15">
        <f>Z39</f>
        <v>6.4425744504920166</v>
      </c>
      <c r="AC39" s="15">
        <f>($I39/AB39)/1000</f>
        <v>1.5570990387627024E-3</v>
      </c>
      <c r="AD39" s="24">
        <f>AA39-AC39+$J39</f>
        <v>1.9215722936235052E-2</v>
      </c>
      <c r="AE39" s="16">
        <f>AD39/$D39</f>
        <v>1.9215722936235052E-2</v>
      </c>
      <c r="AF39" s="14">
        <f>AA39*$R$10</f>
        <v>13.406005061792154</v>
      </c>
      <c r="AG39" s="14">
        <f>AC39*$M39*$R$7*$D$11</f>
        <v>1.5319856516826471</v>
      </c>
      <c r="AH39" s="14">
        <f>AF39-AG39+$K39</f>
        <v>88.019019410109522</v>
      </c>
      <c r="AI39" s="44">
        <f>AH39/$D39</f>
        <v>88.019019410109522</v>
      </c>
      <c r="AJ39" s="43">
        <f>89+15</f>
        <v>104</v>
      </c>
      <c r="AK39" s="15">
        <f>$H$3+$H$4*AJ39+$H$5*($G39/$H39)+$H$6*AJ39^2+$H$7*($G39/$H39)^2+$H$8*AJ39*($G39/$H39)+$H$9*AJ39^3+$H$10*($G39/$H39)^3+$H$11*AJ39*($G39/$H39)^2+$H$12*AJ39^2*($G39/$H39)</f>
        <v>7.1731404854674166</v>
      </c>
      <c r="AL39" s="15">
        <f>$G$39/(AK39*1000)</f>
        <v>4.1370301563971581E-3</v>
      </c>
      <c r="AM39" s="15">
        <f>AK39</f>
        <v>7.1731404854674166</v>
      </c>
      <c r="AN39" s="15">
        <f>($I39/AM39)/1000</f>
        <v>1.398512479205205E-3</v>
      </c>
      <c r="AO39" s="24">
        <f>AL39-AN39+$J39</f>
        <v>1.8905184343858621E-2</v>
      </c>
      <c r="AP39" s="16">
        <f>AO39/$D39</f>
        <v>1.8905184343858621E-2</v>
      </c>
      <c r="AQ39" s="14">
        <f>AL39*$Q$10</f>
        <v>11.953172619716785</v>
      </c>
      <c r="AR39" s="14">
        <f>AN39*$M39*$S$7*$D$11</f>
        <v>1.3988412533695525</v>
      </c>
      <c r="AS39" s="14">
        <f>AQ39-AR39+$K39</f>
        <v>86.699331366347238</v>
      </c>
      <c r="AT39" s="44">
        <f>AS39/$D39</f>
        <v>86.699331366347238</v>
      </c>
      <c r="AU39" s="43">
        <f>88+15</f>
        <v>103</v>
      </c>
      <c r="AV39" s="15">
        <f>$H$3+$H$4*AU39+$H$5*($G39/$H39)+$H$6*AU39^2+$H$7*($G39/$H39)^2+$H$8*AU39*($G39/$H39)+$H$9*AU39^3+$H$10*($G39/$H39)^3+$H$11*AU39*($G39/$H39)^2+$H$12*AU39^2*($G39/$H39)</f>
        <v>7.281090917823354</v>
      </c>
      <c r="AW39" s="178">
        <f>$G$39/(AV39*1000)</f>
        <v>4.0756939913783406E-3</v>
      </c>
      <c r="AX39" s="15">
        <f>AV39</f>
        <v>7.281090917823354</v>
      </c>
      <c r="AY39" s="15">
        <f>($I39/AX39)/1000</f>
        <v>1.3777779452611475E-3</v>
      </c>
      <c r="AZ39" s="24">
        <f>AW39-AY39+$J39</f>
        <v>1.8864582712783858E-2</v>
      </c>
      <c r="BA39" s="16">
        <f>AZ39/$D39</f>
        <v>1.8864582712783858E-2</v>
      </c>
      <c r="BB39" s="14">
        <f>AW39*$S$10</f>
        <v>12.059408186438082</v>
      </c>
      <c r="BC39" s="14">
        <f>AY39*$M39*$T$7*$D$11</f>
        <v>1.4111705129691121</v>
      </c>
      <c r="BD39" s="14">
        <f>BB39-BC39+$K39</f>
        <v>86.79323767346898</v>
      </c>
      <c r="BE39" s="44">
        <f>BD39/$D39</f>
        <v>86.79323767346898</v>
      </c>
      <c r="BF39" s="43">
        <f>83+15</f>
        <v>98</v>
      </c>
      <c r="BG39" s="15">
        <f>$H$3+$H$4*BF39+$H$5*($G39/$H39)+$H$6*BF39^2+$H$7*($G39/$H39)^2+$H$8*BF39*($G39/$H39)+$H$9*BF39^3+$H$10*($G39/$H39)^3+$H$11*BF39*($G39/$H39)^2+$H$12*BF39^2*($G39/$H39)</f>
        <v>7.8348543036092488</v>
      </c>
      <c r="BH39" s="15">
        <f>$G$39/(BG39*1000)</f>
        <v>3.7876260814169276E-3</v>
      </c>
      <c r="BI39" s="15">
        <f>BG39</f>
        <v>7.8348543036092488</v>
      </c>
      <c r="BJ39" s="15">
        <f>($I39/BI39)/1000</f>
        <v>1.2803973239677211E-3</v>
      </c>
      <c r="BK39" s="24">
        <f>BH39-BJ39+$J39</f>
        <v>1.8673895424115874E-2</v>
      </c>
      <c r="BL39" s="16">
        <f>BK39/$D39</f>
        <v>1.8673895424115874E-2</v>
      </c>
      <c r="BM39" s="14">
        <f>BH39*$T$10</f>
        <v>11.475977910870434</v>
      </c>
      <c r="BN39" s="14">
        <f>BJ39*$M39*$U$7*$D$11</f>
        <v>1.284349218923162</v>
      </c>
      <c r="BO39" s="14">
        <f>BM39-BN39+$K39</f>
        <v>86.336628691947283</v>
      </c>
      <c r="BP39" s="44">
        <f>BO39/$D39</f>
        <v>86.336628691947283</v>
      </c>
      <c r="BQ39" s="43">
        <f>86+15</f>
        <v>101</v>
      </c>
      <c r="BR39" s="15">
        <f>$H$3+$H$4*BQ39+$H$5*($G39/$H39)+$H$6*BQ39^2+$H$7*($G39/$H39)^2+$H$8*BQ39*($G39/$H39)+$H$9*BQ39^3+$H$10*($G39/$H39)^3+$H$11*BQ39*($G39/$H39)^2+$H$12*BQ39^2*($G39/$H39)</f>
        <v>7.4997676382165306</v>
      </c>
      <c r="BS39" s="15">
        <f>$G$39/(BR39*1000)</f>
        <v>3.9568557235339866E-3</v>
      </c>
      <c r="BT39" s="15">
        <f>BR39</f>
        <v>7.4997676382165306</v>
      </c>
      <c r="BU39" s="15">
        <f>($I39/BT39)/1000</f>
        <v>1.3376049723060276E-3</v>
      </c>
      <c r="BV39" s="24">
        <f>BS39-BU39+$J39</f>
        <v>1.8785917417894624E-2</v>
      </c>
      <c r="BW39" s="16">
        <f>BV39/$D39</f>
        <v>1.8785917417894624E-2</v>
      </c>
      <c r="BX39" s="14">
        <f>BS39*$U$10</f>
        <v>11.741157771174498</v>
      </c>
      <c r="BY39" s="14">
        <f>BU39*$M39*$V$7*$D$11</f>
        <v>1.3881169687733095</v>
      </c>
      <c r="BZ39" s="14">
        <f>BX39-BY39+$K39</f>
        <v>86.498040802401192</v>
      </c>
      <c r="CA39" s="44">
        <f>BZ39/$D39</f>
        <v>86.498040802401192</v>
      </c>
      <c r="CB39" s="43">
        <f>83+15</f>
        <v>98</v>
      </c>
      <c r="CC39" s="15">
        <f>$H$3+$H$4*CB39+$H$5*($G39/$H39)+$H$6*CB39^2+$H$7*($G39/$H39)^2+$H$8*CB39*($G39/$H39)+$H$9*CB39^3+$H$10*($G39/$H39)^3+$H$11*CB39*($G39/$H39)^2+$H$12*CB39^2*($G39/$H39)</f>
        <v>7.8348543036092488</v>
      </c>
      <c r="CD39" s="15">
        <f>$G$39/(CC39*1000)</f>
        <v>3.7876260814169276E-3</v>
      </c>
      <c r="CE39" s="15">
        <f>CC39</f>
        <v>7.8348543036092488</v>
      </c>
      <c r="CF39" s="15">
        <f>($I39/CE39)/1000</f>
        <v>1.2803973239677211E-3</v>
      </c>
      <c r="CG39" s="24">
        <f>CD39-CF39+$J39</f>
        <v>1.8673895424115874E-2</v>
      </c>
      <c r="CH39" s="16">
        <f>CG39/$D39</f>
        <v>1.8673895424115874E-2</v>
      </c>
      <c r="CI39" s="14">
        <f>CD39*$V$10</f>
        <v>11.627534258007099</v>
      </c>
      <c r="CJ39" s="14">
        <f>CF39*$M39*$W$7*$D$11</f>
        <v>1.3426709707741757</v>
      </c>
      <c r="CK39" s="14">
        <f>CI39-CJ39+$K39</f>
        <v>86.429863287232934</v>
      </c>
      <c r="CL39" s="44">
        <f>CK39/$D39</f>
        <v>86.429863287232934</v>
      </c>
      <c r="CM39" s="43">
        <f>89+15</f>
        <v>104</v>
      </c>
      <c r="CN39" s="15">
        <f>$H$3+$H$4*CM39+$H$5*($G39/$H39)+$H$6*CM39^2+$H$7*($G39/$H39)^2+$H$8*CM39*($G39/$H39)+$H$9*CM39^3+$H$10*($G39/$H39)^3+$H$11*CM39*($G39/$H39)^2+$H$12*CM39^2*($G39/$H39)</f>
        <v>7.1731404854674166</v>
      </c>
      <c r="CO39" s="15">
        <f>$G$39/(CN39*1000)</f>
        <v>4.1370301563971581E-3</v>
      </c>
      <c r="CP39" s="15">
        <f>CN39</f>
        <v>7.1731404854674166</v>
      </c>
      <c r="CQ39" s="15">
        <f>($I39/CP39)/1000</f>
        <v>1.398512479205205E-3</v>
      </c>
      <c r="CR39" s="24">
        <f>CO39-CQ39+$J39</f>
        <v>1.8905184343858621E-2</v>
      </c>
      <c r="CS39" s="16">
        <f>CR39/$D39</f>
        <v>1.8905184343858621E-2</v>
      </c>
      <c r="CT39" s="14">
        <f>CO39*$W$10</f>
        <v>12.833226778136572</v>
      </c>
      <c r="CU39" s="14">
        <f>CQ39*$M39*$X$7*$D$11</f>
        <v>1.4601020361165991</v>
      </c>
      <c r="CV39" s="14">
        <f>CT39-CU39+$K39</f>
        <v>87.518124742019978</v>
      </c>
      <c r="CW39" s="44">
        <f>CV39/$D39</f>
        <v>87.518124742019978</v>
      </c>
      <c r="CX39" s="43">
        <f>96+15</f>
        <v>111</v>
      </c>
      <c r="CY39" s="15">
        <f>$H$3+$H$4*CX39+$H$5*($G39/$H39)+$H$6*CX39^2+$H$7*($G39/$H39)^2+$H$8*CX39*($G39/$H39)+$H$9*CX39^3+$H$10*($G39/$H39)^3+$H$11*CX39*($G39/$H39)^2+$H$12*CX39^2*($G39/$H39)</f>
        <v>6.4425744504920166</v>
      </c>
      <c r="CZ39" s="15">
        <f>$G$39/(CY39*1000)</f>
        <v>4.6061553083310888E-3</v>
      </c>
      <c r="DA39" s="15">
        <f>CY39</f>
        <v>6.4425744504920166</v>
      </c>
      <c r="DB39" s="15">
        <f>($I39/DA39)/1000</f>
        <v>1.5570990387627024E-3</v>
      </c>
      <c r="DC39" s="24">
        <f>CZ39-DB39+$J39</f>
        <v>1.9215722936235052E-2</v>
      </c>
      <c r="DD39" s="16">
        <f>DC39/$D39</f>
        <v>1.9215722936235052E-2</v>
      </c>
      <c r="DE39" s="14">
        <f>CZ39*$X$10</f>
        <v>14.22583536827911</v>
      </c>
      <c r="DF39" s="14">
        <f>DB39*$M39*$Y$7*$D$11</f>
        <v>1.6093267327052663</v>
      </c>
      <c r="DG39" s="14">
        <f>DE39-DF39+$K39</f>
        <v>88.761508635573847</v>
      </c>
      <c r="DH39" s="44">
        <f>DG39/$D39</f>
        <v>88.761508635573847</v>
      </c>
      <c r="DI39" s="43">
        <f>100+15</f>
        <v>115</v>
      </c>
      <c r="DJ39" s="15">
        <f>$H$3+$H$4*DI39+$H$5*($G39/$H39)+$H$6*DI39^2+$H$7*($G39/$H39)^2+$H$8*DI39*($G39/$H39)+$H$9*DI39^3+$H$10*($G39/$H39)^3+$H$11*DI39*($G39/$H39)^2+$H$12*DI39^2*($G39/$H39)</f>
        <v>6.044045271560071</v>
      </c>
      <c r="DK39" s="15">
        <f>$G$39/(DJ39*1000)</f>
        <v>4.9098736311735626E-3</v>
      </c>
      <c r="DL39" s="15">
        <f>DJ39</f>
        <v>6.044045271560071</v>
      </c>
      <c r="DM39" s="15">
        <f>($I39/DL39)/1000</f>
        <v>1.6597702421624822E-3</v>
      </c>
      <c r="DN39" s="24">
        <f>DK39-DM39+$J39</f>
        <v>1.9416770055677747E-2</v>
      </c>
      <c r="DO39" s="16">
        <f>DN39/$D39</f>
        <v>1.9416770055677747E-2</v>
      </c>
      <c r="DP39" s="14">
        <f>DK39*$Y$10</f>
        <v>15.01138086853444</v>
      </c>
      <c r="DQ39" s="14">
        <f>DM39*$M39*$Z$7*$D$11</f>
        <v>1.6970488558591061</v>
      </c>
      <c r="DR39" s="14">
        <f>DP39-DQ39+$K39</f>
        <v>89.459332012675347</v>
      </c>
      <c r="DS39" s="44">
        <f>DR39/$D39</f>
        <v>89.459332012675347</v>
      </c>
      <c r="DT39" s="43">
        <f>104+15</f>
        <v>119</v>
      </c>
      <c r="DU39" s="15">
        <f>$H$3+$H$4*DT39+$H$5*($G39/$H39)+$H$6*DT39^2+$H$7*($G39/$H39)^2+$H$8*DT39*($G39/$H39)+$H$9*DT39^3+$H$10*($G39/$H39)^3+$H$11*DT39*($G39/$H39)^2+$H$12*DT39^2*($G39/$H39)</f>
        <v>5.6585848385945274</v>
      </c>
      <c r="DV39" s="15">
        <f>$G$39/(DU39*1000)</f>
        <v>5.2443321697767135E-3</v>
      </c>
      <c r="DW39" s="15">
        <f>DU39</f>
        <v>5.6585848385945274</v>
      </c>
      <c r="DX39" s="15">
        <f>($I39/DW39)/1000</f>
        <v>1.7728330969956673E-3</v>
      </c>
      <c r="DY39" s="24">
        <f>DV39-DX39+$J39</f>
        <v>1.963816573944771E-2</v>
      </c>
      <c r="DZ39" s="16">
        <f>DY39/$D39</f>
        <v>1.963816573944771E-2</v>
      </c>
      <c r="EA39" s="14">
        <f>DV39*$Z$10</f>
        <v>15.862034991292218</v>
      </c>
      <c r="EB39" s="14">
        <f>DX39*$M39*$AA$7*$D$11</f>
        <v>1.7477078262360533</v>
      </c>
      <c r="EC39" s="14">
        <f>EA39-EB39+$K39</f>
        <v>90.259327165056177</v>
      </c>
      <c r="ED39" s="44">
        <f>EC39/$D39</f>
        <v>90.259327165056177</v>
      </c>
      <c r="EE39" s="43">
        <f>100+15</f>
        <v>115</v>
      </c>
      <c r="EF39" s="15">
        <f>$H$3+$H$4*EE39+$H$5*($G39/$H39)+$H$6*EE39^2+$H$7*($G39/$H39)^2+$H$8*EE39*($G39/$H39)+$H$9*EE39^3+$H$10*($G39/$H39)^3+$H$11*EE39*($G39/$H39)^2+$H$12*EE39^2*($G39/$H39)</f>
        <v>6.044045271560071</v>
      </c>
      <c r="EG39" s="15">
        <f>$G$39/(EF39*1000)</f>
        <v>4.9098736311735626E-3</v>
      </c>
      <c r="EH39" s="15">
        <f>EF39</f>
        <v>6.044045271560071</v>
      </c>
      <c r="EI39" s="15">
        <f>($I39/EH39)/1000</f>
        <v>1.6597702421624822E-3</v>
      </c>
      <c r="EJ39" s="24">
        <f>EG39-EI39+$J39</f>
        <v>1.9416770055677747E-2</v>
      </c>
      <c r="EK39" s="16">
        <f>EJ39/$D39</f>
        <v>1.9416770055677747E-2</v>
      </c>
      <c r="EL39" s="14">
        <f>EG39*$AA$10</f>
        <v>14.318371793591281</v>
      </c>
      <c r="EM39" s="14">
        <f>EI39*$M39*$AB$7*$D$11</f>
        <v>1.6619582832278907</v>
      </c>
      <c r="EN39" s="14">
        <f>EL39-EM39+$K39</f>
        <v>88.801413510363403</v>
      </c>
      <c r="EO39" s="44">
        <f>EN39/$D39</f>
        <v>88.801413510363403</v>
      </c>
      <c r="EP39" s="43">
        <f>101+15</f>
        <v>116</v>
      </c>
      <c r="EQ39" s="15">
        <f>$H$3+$H$4*EP39+$H$5*($G39/$H39)+$H$6*EP39^2+$H$7*($G39/$H39)^2+$H$8*EP39*($G39/$H39)+$H$9*EP39^3+$H$10*($G39/$H39)^3+$H$11*EP39*($G39/$H39)^2+$H$12*EP39^2*($G39/$H39)</f>
        <v>5.9464769593176205</v>
      </c>
      <c r="ER39" s="15">
        <f>$G$39/(EQ39*1000)</f>
        <v>4.9904336143021767E-3</v>
      </c>
      <c r="ES39" s="15">
        <f>EQ39</f>
        <v>5.9464769593176205</v>
      </c>
      <c r="ET39" s="15">
        <f>($I39/ES39)/1000</f>
        <v>1.6870033387246894E-3</v>
      </c>
      <c r="EU39" s="24">
        <f>ER39-ET39+$J39</f>
        <v>1.9470096942244153E-2</v>
      </c>
      <c r="EV39" s="16">
        <f>EU39/$D39</f>
        <v>1.9470096942244153E-2</v>
      </c>
      <c r="EW39" s="14">
        <f>ER39*$AB$10</f>
        <v>14.781985359766521</v>
      </c>
      <c r="EX39" s="14">
        <f>ET39*$M39*$AC$7*$D$11</f>
        <v>1.7281062604350166</v>
      </c>
      <c r="EY39" s="14">
        <f>EW39-EX39+$K39</f>
        <v>89.198879099331521</v>
      </c>
      <c r="EZ39" s="44">
        <f>EY39/$D39</f>
        <v>89.198879099331521</v>
      </c>
      <c r="FA39" s="43">
        <f>103+15</f>
        <v>118</v>
      </c>
      <c r="FB39" s="15">
        <f>$H$3+$H$4*FA39+$H$5*($G39/$H39)+$H$6*FA39^2+$H$7*($G39/$H39)^2+$H$8*FA39*($G39/$H39)+$H$9*FA39^3+$H$10*($G39/$H39)^3+$H$11*FA39*($G39/$H39)^2+$H$12*FA39^2*($G39/$H39)</f>
        <v>5.7537555392081599</v>
      </c>
      <c r="FC39" s="15">
        <f>$G$39/(FB39*1000)</f>
        <v>5.1575876490115944E-3</v>
      </c>
      <c r="FD39" s="15">
        <f>FB39</f>
        <v>5.7537555392081599</v>
      </c>
      <c r="FE39" s="15">
        <f>($I39/FD39)/1000</f>
        <v>1.7435093332795375E-3</v>
      </c>
      <c r="FF39" s="24">
        <f>FC39-FE39+$J39</f>
        <v>1.9580744982398722E-2</v>
      </c>
      <c r="FG39" s="16">
        <f>FF39/$D39</f>
        <v>1.9580744982398722E-2</v>
      </c>
      <c r="FH39" s="14">
        <f>FC39*$AC$10</f>
        <v>15.628721752699871</v>
      </c>
      <c r="FI39" s="14">
        <f>FE39*$M39*$AD$7*$D$11</f>
        <v>1.7664487578816628</v>
      </c>
      <c r="FJ39" s="14">
        <f>FH39-FI39+$K39</f>
        <v>90.007272994818223</v>
      </c>
      <c r="FK39" s="44">
        <f>FJ39/$D39</f>
        <v>90.007272994818223</v>
      </c>
      <c r="FL39" s="43">
        <f>113+15</f>
        <v>128</v>
      </c>
      <c r="FM39" s="15">
        <f>$H$3+$H$4*FL39+$H$5*($G39/$H39)+$H$6*FL39^2+$H$7*($G39/$H39)^2+$H$8*FL39*($G39/$H39)+$H$9*FL39^3+$H$10*($G39/$H39)^3+$H$11*FL39*($G39/$H39)^2+$H$12*FL39^2*($G39/$H39)</f>
        <v>4.8361654691082965</v>
      </c>
      <c r="FN39" s="15">
        <f>$G$39/(FM39*1000)</f>
        <v>6.1361627706927255E-3</v>
      </c>
      <c r="FO39" s="15">
        <f>FM39</f>
        <v>4.8361654691082965</v>
      </c>
      <c r="FP39" s="15">
        <f>($I39/FO39)/1000</f>
        <v>2.0743141540746201E-3</v>
      </c>
      <c r="FQ39" s="24">
        <f>FN39-FP39+$J39</f>
        <v>2.0228515283284773E-2</v>
      </c>
      <c r="FR39" s="16">
        <f>FQ39/$D39</f>
        <v>2.0228515283284773E-2</v>
      </c>
      <c r="FS39" s="14">
        <f>FN39*$AD$10</f>
        <v>18.390603415873336</v>
      </c>
      <c r="FT39" s="14">
        <f>FP39*$M39*$AE$7*$D$11</f>
        <v>2.3190909863439768</v>
      </c>
      <c r="FU39" s="14">
        <f>FS39-FT39+$K39</f>
        <v>92.216512429529374</v>
      </c>
      <c r="FV39" s="44">
        <f>FU39/$D39</f>
        <v>92.216512429529374</v>
      </c>
      <c r="FW39" s="43">
        <f>85+15</f>
        <v>100</v>
      </c>
      <c r="FX39" s="15">
        <f>$H$3+$H$4*FW39+$H$5*($G39/$H39)+$H$6*FW39^2+$H$7*($G39/$H39)^2+$H$8*FW39*($G39/$H39)+$H$9*FW39^3+$H$10*($G39/$H39)^3+$H$11*FW39*($G39/$H39)^2+$H$12*FW39^2*($G39/$H39)</f>
        <v>7.6105115190003954</v>
      </c>
      <c r="FY39" s="15">
        <f>$G$39/(FX39*1000)</f>
        <v>3.8992777857788179E-3</v>
      </c>
      <c r="FZ39" s="15">
        <f>FX39</f>
        <v>7.6105115190003954</v>
      </c>
      <c r="GA39" s="15">
        <f>($I39/FZ39)/1000</f>
        <v>1.3181408974906701E-3</v>
      </c>
      <c r="GB39" s="24">
        <f>FY39-GA39+$J39</f>
        <v>1.8747803554954815E-2</v>
      </c>
      <c r="GC39" s="16">
        <f>GB39/$D39</f>
        <v>1.8747803554954815E-2</v>
      </c>
      <c r="GD39" s="14">
        <f>FY39*$AE$10</f>
        <v>12.895844073562802</v>
      </c>
      <c r="GE39" s="14">
        <f>GA39*$M39*$AF$7*$D$11</f>
        <v>1.2316515144323652</v>
      </c>
      <c r="GF39" s="14">
        <f>GD39-GE39+$K39</f>
        <v>87.809192559130452</v>
      </c>
      <c r="GG39" s="44">
        <f>GF39/$D39</f>
        <v>87.809192559130452</v>
      </c>
    </row>
    <row r="40" spans="2:202" ht="13.8" x14ac:dyDescent="0.25">
      <c r="B40" s="167" t="s">
        <v>155</v>
      </c>
      <c r="C40" s="3" t="s">
        <v>156</v>
      </c>
      <c r="D40" s="3">
        <v>1</v>
      </c>
      <c r="E40" s="3">
        <v>0</v>
      </c>
      <c r="F40" s="3">
        <f>E40-10</f>
        <v>-10</v>
      </c>
      <c r="G40" s="11">
        <f>'Cooling Load'!F33</f>
        <v>29.675498504452051</v>
      </c>
      <c r="H40" s="14">
        <f>G40*1.15</f>
        <v>34.126823280119858</v>
      </c>
      <c r="I40" s="14">
        <f>'Cooling Load'!I33</f>
        <v>10.031726484018265</v>
      </c>
      <c r="J40" s="110">
        <f>'Cooling Load'!I21</f>
        <v>1.6166666666666666E-2</v>
      </c>
      <c r="K40" s="109">
        <f>'Cooling Load'!I27</f>
        <v>76.14500000000001</v>
      </c>
      <c r="L40" s="98">
        <f>I40/H40</f>
        <v>0.29395430103985443</v>
      </c>
      <c r="M40" s="97">
        <f>(1-(1-L40))*(1-$E$8)</f>
        <v>0.26455887093586899</v>
      </c>
      <c r="N40" s="43">
        <f>69+10</f>
        <v>79</v>
      </c>
      <c r="O40" s="15">
        <f>$I$3+$I$4*N40+$I$5*($G40/$H40)+$I$6*N40^2+$I$7*($G40/$H40)^2+$I$8*N40*($G40/$H40)+$I$9*N40^3+$I$10*($G40/$H40)^3+$I$11*N40*($G40/$H40)^2+$I$12*N40^2*($G40/$H40)</f>
        <v>7.7386212864169197</v>
      </c>
      <c r="P40" s="15">
        <f>$G$40/(O40*1000)</f>
        <v>3.8347268080606879E-3</v>
      </c>
      <c r="Q40" s="15">
        <f>O40</f>
        <v>7.7386212864169197</v>
      </c>
      <c r="R40" s="15">
        <f>($I40/Q40)/1000</f>
        <v>1.2963196043236122E-3</v>
      </c>
      <c r="S40" s="24">
        <f>P40-R40+$J40</f>
        <v>1.8705073870403741E-2</v>
      </c>
      <c r="T40" s="16">
        <f>S40/$D40</f>
        <v>1.8705073870403741E-2</v>
      </c>
      <c r="U40" s="14">
        <f>P40*$Q$11</f>
        <v>10.496580442346545</v>
      </c>
      <c r="V40" s="14">
        <f>R40*$M40*$Q$7*$E$11</f>
        <v>1.1995080231051247</v>
      </c>
      <c r="W40" s="14">
        <f>U40-V40+$K40</f>
        <v>85.442072419241427</v>
      </c>
      <c r="X40" s="44">
        <f>W40/$D40</f>
        <v>85.442072419241427</v>
      </c>
      <c r="Y40" s="43">
        <f>96+10</f>
        <v>106</v>
      </c>
      <c r="Z40" s="15">
        <f>$I$3+$I$4*Y40+$I$5*($G40/$H40)+$I$6*Y40^2+$I$7*($G40/$H40)^2+$I$8*Y40*($G40/$H40)+$I$9*Y40^3+$I$10*($G40/$H40)^3+$I$11*Y40*($G40/$H40)^2+$I$12*Y40^2*($G40/$H40)</f>
        <v>4.9787525693054091</v>
      </c>
      <c r="AA40" s="15">
        <f>$G$40/(Z40*1000)</f>
        <v>5.9604284590089821E-3</v>
      </c>
      <c r="AB40" s="15">
        <f>Z40</f>
        <v>4.9787525693054091</v>
      </c>
      <c r="AC40" s="15">
        <f>($I40/AB40)/1000</f>
        <v>2.0149076188009482E-3</v>
      </c>
      <c r="AD40" s="24">
        <f>AA40-AC40+$J40</f>
        <v>2.0112187506874699E-2</v>
      </c>
      <c r="AE40" s="16">
        <f>AD40/$D40</f>
        <v>2.0112187506874699E-2</v>
      </c>
      <c r="AF40" s="14">
        <f>AA40*$R$11</f>
        <v>16.434526106646075</v>
      </c>
      <c r="AG40" s="14">
        <f>AC40*$M40*$R$7*$E$11</f>
        <v>1.8780731524071101</v>
      </c>
      <c r="AH40" s="14">
        <f>AF40-AG40+$K40</f>
        <v>90.701452954238974</v>
      </c>
      <c r="AI40" s="44">
        <f>AH40/$D40</f>
        <v>90.701452954238974</v>
      </c>
      <c r="AJ40" s="43">
        <f>89+10</f>
        <v>99</v>
      </c>
      <c r="AK40" s="15">
        <f>$I$3+$I$4*AJ40+$I$5*($G40/$H40)+$I$6*AJ40^2+$I$7*($G40/$H40)^2+$I$8*AJ40*($G40/$H40)+$I$9*AJ40^3+$I$10*($G40/$H40)^3+$I$11*AJ40*($G40/$H40)^2+$I$12*AJ40^2*($G40/$H40)</f>
        <v>5.5747757160485607</v>
      </c>
      <c r="AL40" s="15">
        <f>$G$40/(AK40*1000)</f>
        <v>5.3231735258914142E-3</v>
      </c>
      <c r="AM40" s="15">
        <f>AK40</f>
        <v>5.5747757160485607</v>
      </c>
      <c r="AN40" s="15">
        <f>($I40/AM40)/1000</f>
        <v>1.7994852160848583E-3</v>
      </c>
      <c r="AO40" s="24">
        <f>AL40-AN40+$J40</f>
        <v>1.9690354976473222E-2</v>
      </c>
      <c r="AP40" s="16">
        <f>AO40/$D40</f>
        <v>1.9690354976473222E-2</v>
      </c>
      <c r="AQ40" s="14">
        <f>AL40*$Q$11</f>
        <v>14.570821317867514</v>
      </c>
      <c r="AR40" s="14">
        <f>AN40*$M40*$S$7*$E$11</f>
        <v>1.7051762409328046</v>
      </c>
      <c r="AS40" s="14">
        <f>AQ40-AR40+$K40</f>
        <v>89.010645076934722</v>
      </c>
      <c r="AT40" s="44">
        <f>AS40/$D40</f>
        <v>89.010645076934722</v>
      </c>
      <c r="AU40" s="43">
        <f>88+10</f>
        <v>98</v>
      </c>
      <c r="AV40" s="15">
        <f>$I$3+$I$4*AU40+$I$5*($G40/$H40)+$I$6*AU40^2+$I$7*($G40/$H40)^2+$I$8*AU40*($G40/$H40)+$I$9*AU40^3+$I$10*($G40/$H40)^3+$I$11*AU40*($G40/$H40)^2+$I$12*AU40^2*($G40/$H40)</f>
        <v>5.665598965208031</v>
      </c>
      <c r="AW40" s="178">
        <f>$G$40/(AV40*1000)</f>
        <v>5.2378395800138349E-3</v>
      </c>
      <c r="AX40" s="15">
        <f>AV40</f>
        <v>5.665598965208031</v>
      </c>
      <c r="AY40" s="15">
        <f>($I40/AX40)/1000</f>
        <v>1.7706382936071292E-3</v>
      </c>
      <c r="AZ40" s="24">
        <f>AW40-AY40+$J40</f>
        <v>1.9633867953073373E-2</v>
      </c>
      <c r="BA40" s="16">
        <f>AZ40/$D40</f>
        <v>1.9633867953073373E-2</v>
      </c>
      <c r="BB40" s="14">
        <f>AW40*$S$11</f>
        <v>14.682348339016706</v>
      </c>
      <c r="BC40" s="14">
        <f>AY40*$M40*$T$7*$E$11</f>
        <v>1.7181023079111093</v>
      </c>
      <c r="BD40" s="14">
        <f>BB40-BC40+$K40</f>
        <v>89.109246031105613</v>
      </c>
      <c r="BE40" s="44">
        <f>BD40/$D40</f>
        <v>89.109246031105613</v>
      </c>
      <c r="BF40" s="43">
        <f>83+10</f>
        <v>93</v>
      </c>
      <c r="BG40" s="15">
        <f>$I$3+$I$4*BF40+$I$5*($G40/$H40)+$I$6*BF40^2+$I$7*($G40/$H40)^2+$I$8*BF40*($G40/$H40)+$I$9*BF40^3+$I$10*($G40/$H40)^3+$I$11*BF40*($G40/$H40)^2+$I$12*BF40^2*($G40/$H40)</f>
        <v>6.1439585132971386</v>
      </c>
      <c r="BH40" s="15">
        <f>$G$40/(BG40*1000)</f>
        <v>4.8300291156306609E-3</v>
      </c>
      <c r="BI40" s="15">
        <f>BG40</f>
        <v>6.1439585132971386</v>
      </c>
      <c r="BJ40" s="15">
        <f>($I40/BI40)/1000</f>
        <v>1.6327790075904606E-3</v>
      </c>
      <c r="BK40" s="24">
        <f>BH40-BJ40+$J40</f>
        <v>1.9363916774706866E-2</v>
      </c>
      <c r="BL40" s="16">
        <f>BK40/$D40</f>
        <v>1.9363916774706866E-2</v>
      </c>
      <c r="BM40" s="14">
        <f>BH40*$T$11</f>
        <v>13.864086459579003</v>
      </c>
      <c r="BN40" s="14">
        <f>BJ40*$M40*$U$7*$E$11</f>
        <v>1.5516175400247785</v>
      </c>
      <c r="BO40" s="14">
        <f>BM40-BN40+$K40</f>
        <v>88.457468919554231</v>
      </c>
      <c r="BP40" s="44">
        <f>BO40/$D40</f>
        <v>88.457468919554231</v>
      </c>
      <c r="BQ40" s="43">
        <f>86+10</f>
        <v>96</v>
      </c>
      <c r="BR40" s="15">
        <f>$I$3+$I$4*BQ40+$I$5*($G40/$H40)+$I$6*BQ40^2+$I$7*($G40/$H40)^2+$I$8*BQ40*($G40/$H40)+$I$9*BQ40^3+$I$10*($G40/$H40)^3+$I$11*BQ40*($G40/$H40)^2+$I$12*BQ40^2*($G40/$H40)</f>
        <v>5.851957774803612</v>
      </c>
      <c r="BS40" s="15">
        <f>$G$40/(BR40*1000)</f>
        <v>5.0710377016430098E-3</v>
      </c>
      <c r="BT40" s="15">
        <f>BR40</f>
        <v>5.851957774803612</v>
      </c>
      <c r="BU40" s="15">
        <f>($I40/BT40)/1000</f>
        <v>1.7142513446032038E-3</v>
      </c>
      <c r="BV40" s="24">
        <f>BS40-BU40+$J40</f>
        <v>1.952345302370647E-2</v>
      </c>
      <c r="BW40" s="16">
        <f>BV40/$D40</f>
        <v>1.952345302370647E-2</v>
      </c>
      <c r="BX40" s="14">
        <f>BS40*$U$11</f>
        <v>14.255302985038648</v>
      </c>
      <c r="BY40" s="14">
        <f>BU40*$M40*$V$7*$E$11</f>
        <v>1.6853557676499489</v>
      </c>
      <c r="BZ40" s="14">
        <f>BX40-BY40+$K40</f>
        <v>88.714947217388712</v>
      </c>
      <c r="CA40" s="44">
        <f>BZ40/$D40</f>
        <v>88.714947217388712</v>
      </c>
      <c r="CB40" s="43">
        <f>83+10</f>
        <v>93</v>
      </c>
      <c r="CC40" s="15">
        <f>$I$3+$I$4*CB40+$I$5*($G40/$H40)+$I$6*CB40^2+$I$7*($G40/$H40)^2+$I$8*CB40*($G40/$H40)+$I$9*CB40^3+$I$10*($G40/$H40)^3+$I$11*CB40*($G40/$H40)^2+$I$12*CB40^2*($G40/$H40)</f>
        <v>6.1439585132971386</v>
      </c>
      <c r="CD40" s="15">
        <f>$G$40/(CC40*1000)</f>
        <v>4.8300291156306609E-3</v>
      </c>
      <c r="CE40" s="15">
        <f>CC40</f>
        <v>6.1439585132971386</v>
      </c>
      <c r="CF40" s="15">
        <f>($I40/CE40)/1000</f>
        <v>1.6327790075904606E-3</v>
      </c>
      <c r="CG40" s="24">
        <f>CD40-CF40+$J40</f>
        <v>1.9363916774706866E-2</v>
      </c>
      <c r="CH40" s="16">
        <f>CG40/$D40</f>
        <v>1.9363916774706866E-2</v>
      </c>
      <c r="CI40" s="14">
        <f>CD40*$V$11</f>
        <v>14.047181121883154</v>
      </c>
      <c r="CJ40" s="14">
        <f>CF40*$M40*$W$7*$E$11</f>
        <v>1.6220758326789197</v>
      </c>
      <c r="CK40" s="14">
        <f>CI40-CJ40+$K40</f>
        <v>88.57010528920425</v>
      </c>
      <c r="CL40" s="44">
        <f>CK40/$D40</f>
        <v>88.57010528920425</v>
      </c>
      <c r="CM40" s="43">
        <f>89+10</f>
        <v>99</v>
      </c>
      <c r="CN40" s="15">
        <f>$I$3+$I$4*CM40+$I$5*($G40/$H40)+$I$6*CM40^2+$I$7*($G40/$H40)^2+$I$8*CM40*($G40/$H40)+$I$9*CM40^3+$I$10*($G40/$H40)^3+$I$11*CM40*($G40/$H40)^2+$I$12*CM40^2*($G40/$H40)</f>
        <v>5.5747757160485607</v>
      </c>
      <c r="CO40" s="15">
        <f>$G$40/(CN40*1000)</f>
        <v>5.3231735258914142E-3</v>
      </c>
      <c r="CP40" s="15">
        <f>CN40</f>
        <v>5.5747757160485607</v>
      </c>
      <c r="CQ40" s="15">
        <f>($I40/CP40)/1000</f>
        <v>1.7994852160848583E-3</v>
      </c>
      <c r="CR40" s="24">
        <f>CO40-CQ40+$J40</f>
        <v>1.9690354976473222E-2</v>
      </c>
      <c r="CS40" s="16">
        <f>CR40/$D40</f>
        <v>1.9690354976473222E-2</v>
      </c>
      <c r="CT40" s="14">
        <f>CO40*$W$11</f>
        <v>15.64360026119418</v>
      </c>
      <c r="CU40" s="14">
        <f>CQ40*$M40*$X$7*$E$11</f>
        <v>1.7798526425542067</v>
      </c>
      <c r="CV40" s="14">
        <f>CT40-CU40+$K40</f>
        <v>90.008747618639987</v>
      </c>
      <c r="CW40" s="44">
        <f>CV40/$D40</f>
        <v>90.008747618639987</v>
      </c>
      <c r="CX40" s="43">
        <f>96+10</f>
        <v>106</v>
      </c>
      <c r="CY40" s="15">
        <f>$I$3+$I$4*CX40+$I$5*($G40/$H40)+$I$6*CX40^2+$I$7*($G40/$H40)^2+$I$8*CX40*($G40/$H40)+$I$9*CX40^3+$I$10*($G40/$H40)^3+$I$11*CX40*($G40/$H40)^2+$I$12*CX40^2*($G40/$H40)</f>
        <v>4.9787525693054091</v>
      </c>
      <c r="CZ40" s="15">
        <f>$G$40/(CY40*1000)</f>
        <v>5.9604284590089821E-3</v>
      </c>
      <c r="DA40" s="15">
        <f>CY40</f>
        <v>4.9787525693054091</v>
      </c>
      <c r="DB40" s="15">
        <f>($I40/DA40)/1000</f>
        <v>2.0149076188009482E-3</v>
      </c>
      <c r="DC40" s="24">
        <f>CZ40-DB40+$J40</f>
        <v>2.0112187506874699E-2</v>
      </c>
      <c r="DD40" s="16">
        <f>DC40/$D40</f>
        <v>2.0112187506874699E-2</v>
      </c>
      <c r="DE40" s="14">
        <f>CZ40*$X$11</f>
        <v>17.439562470042642</v>
      </c>
      <c r="DF40" s="14">
        <f>DB40*$M40*$Y$7*$E$11</f>
        <v>1.9728861865156129</v>
      </c>
      <c r="DG40" s="14">
        <f>DE40-DF40+$K40</f>
        <v>91.611676283527032</v>
      </c>
      <c r="DH40" s="44">
        <f>DG40/$D40</f>
        <v>91.611676283527032</v>
      </c>
      <c r="DI40" s="43">
        <f>100+10</f>
        <v>110</v>
      </c>
      <c r="DJ40" s="15">
        <f>$I$3+$I$4*DI40+$I$5*($G40/$H40)+$I$6*DI40^2+$I$7*($G40/$H40)^2+$I$8*DI40*($G40/$H40)+$I$9*DI40^3+$I$10*($G40/$H40)^3+$I$11*DI40*($G40/$H40)^2+$I$12*DI40^2*($G40/$H40)</f>
        <v>4.6653923073913646</v>
      </c>
      <c r="DK40" s="15">
        <f>$G$40/(DJ40*1000)</f>
        <v>6.3607723743697312E-3</v>
      </c>
      <c r="DL40" s="15">
        <f>DJ40</f>
        <v>4.6653923073913646</v>
      </c>
      <c r="DM40" s="15">
        <f>($I40/DL40)/1000</f>
        <v>2.1502428569886902E-3</v>
      </c>
      <c r="DN40" s="24">
        <f>DK40-DM40+$J40</f>
        <v>2.0377196184047708E-2</v>
      </c>
      <c r="DO40" s="16">
        <f>DN40/$D40</f>
        <v>2.0377196184047708E-2</v>
      </c>
      <c r="DP40" s="14">
        <f>DK40*$Y$11</f>
        <v>18.423794799100758</v>
      </c>
      <c r="DQ40" s="14">
        <f>DM40*$M40*$Z$7*$E$11</f>
        <v>2.0828250350994786</v>
      </c>
      <c r="DR40" s="14">
        <f>DP40-DQ40+$K40</f>
        <v>92.485969764001283</v>
      </c>
      <c r="DS40" s="44">
        <f>DR40/$D40</f>
        <v>92.485969764001283</v>
      </c>
      <c r="DT40" s="43">
        <f>104+10</f>
        <v>114</v>
      </c>
      <c r="DU40" s="15">
        <f>$I$3+$I$4*DT40+$I$5*($G40/$H40)+$I$6*DT40^2+$I$7*($G40/$H40)^2+$I$8*DT40*($G40/$H40)+$I$9*DT40^3+$I$10*($G40/$H40)^3+$I$11*DT40*($G40/$H40)^2+$I$12*DT40^2*($G40/$H40)</f>
        <v>4.3681956261112758</v>
      </c>
      <c r="DV40" s="15">
        <f>$G$40/(DU40*1000)</f>
        <v>6.7935369760145662E-3</v>
      </c>
      <c r="DW40" s="15">
        <f>DU40</f>
        <v>4.3681956261112758</v>
      </c>
      <c r="DX40" s="15">
        <f>($I40/DW40)/1000</f>
        <v>2.2965378253786829E-3</v>
      </c>
      <c r="DY40" s="24">
        <f>DV40-DX40+$J40</f>
        <v>2.066366581730255E-2</v>
      </c>
      <c r="DZ40" s="16">
        <f>DY40/$D40</f>
        <v>2.066366581730255E-2</v>
      </c>
      <c r="EA40" s="14">
        <f>DV40*$Z$11</f>
        <v>19.466306614592519</v>
      </c>
      <c r="EB40" s="14">
        <f>DX40*$M40*$AA$7*$E$11</f>
        <v>2.1448330202846444</v>
      </c>
      <c r="EC40" s="14">
        <f>EA40-EB40+$K40</f>
        <v>93.466473594307885</v>
      </c>
      <c r="ED40" s="44">
        <f>EC40/$D40</f>
        <v>93.466473594307885</v>
      </c>
      <c r="EE40" s="43">
        <f>100+10</f>
        <v>110</v>
      </c>
      <c r="EF40" s="15">
        <f>$I$3+$I$4*EE40+$I$5*($G40/$H40)+$I$6*EE40^2+$I$7*($G40/$H40)^2+$I$8*EE40*($G40/$H40)+$I$9*EE40^3+$I$10*($G40/$H40)^3+$I$11*EE40*($G40/$H40)^2+$I$12*EE40^2*($G40/$H40)</f>
        <v>4.6653923073913646</v>
      </c>
      <c r="EG40" s="15">
        <f>$G$40/(EF40*1000)</f>
        <v>6.3607723743697312E-3</v>
      </c>
      <c r="EH40" s="15">
        <f>EF40</f>
        <v>4.6653923073913646</v>
      </c>
      <c r="EI40" s="15">
        <f>($I40/EH40)/1000</f>
        <v>2.1502428569886902E-3</v>
      </c>
      <c r="EJ40" s="24">
        <f>EG40-EI40+$J40</f>
        <v>2.0377196184047708E-2</v>
      </c>
      <c r="EK40" s="16">
        <f>EJ40/$D40</f>
        <v>2.0377196184047708E-2</v>
      </c>
      <c r="EL40" s="14">
        <f>EG40*$AA$11</f>
        <v>17.573249662548378</v>
      </c>
      <c r="EM40" s="14">
        <f>EI40*$M40*$AB$7*$E$11</f>
        <v>2.0397576107764044</v>
      </c>
      <c r="EN40" s="14">
        <f>EL40-EM40+$K40</f>
        <v>91.678492051771983</v>
      </c>
      <c r="EO40" s="44">
        <f>EN40/$D40</f>
        <v>91.678492051771983</v>
      </c>
      <c r="EP40" s="43">
        <f>101+10</f>
        <v>111</v>
      </c>
      <c r="EQ40" s="15">
        <f>$I$3+$I$4*EP40+$I$5*($G40/$H40)+$I$6*EP40^2+$I$7*($G40/$H40)^2+$I$8*EP40*($G40/$H40)+$I$9*EP40^3+$I$10*($G40/$H40)^3+$I$11*EP40*($G40/$H40)^2+$I$12*EP40^2*($G40/$H40)</f>
        <v>4.5896914257050003</v>
      </c>
      <c r="ER40" s="15">
        <f>$G$40/(EQ40*1000)</f>
        <v>6.4656848907644685E-3</v>
      </c>
      <c r="ES40" s="15">
        <f>EQ40</f>
        <v>4.5896914257050003</v>
      </c>
      <c r="ET40" s="15">
        <f>($I40/ES40)/1000</f>
        <v>2.185708265229909E-3</v>
      </c>
      <c r="EU40" s="24">
        <f>ER40-ET40+$J40</f>
        <v>2.0446643292201225E-2</v>
      </c>
      <c r="EV40" s="16">
        <f>EU40/$D40</f>
        <v>2.0446643292201225E-2</v>
      </c>
      <c r="EW40" s="14">
        <f>ER40*$AB$11</f>
        <v>18.143786398378975</v>
      </c>
      <c r="EX40" s="14">
        <f>ET40*$M40*$AC$7*$E$11</f>
        <v>2.1211217640882332</v>
      </c>
      <c r="EY40" s="14">
        <f>EW40-EX40+$K40</f>
        <v>92.167664634290759</v>
      </c>
      <c r="EZ40" s="44">
        <f>EY40/$D40</f>
        <v>92.167664634290759</v>
      </c>
      <c r="FA40" s="43">
        <f>103+10</f>
        <v>113</v>
      </c>
      <c r="FB40" s="15">
        <f>$I$3+$I$4*FA40+$I$5*($G40/$H40)+$I$6*FA40^2+$I$7*($G40/$H40)^2+$I$8*FA40*($G40/$H40)+$I$9*FA40^3+$I$10*($G40/$H40)^3+$I$11*FA40*($G40/$H40)^2+$I$12*FA40^2*($G40/$H40)</f>
        <v>4.4411385347921932</v>
      </c>
      <c r="FC40" s="15">
        <f>$G$40/(FB40*1000)</f>
        <v>6.6819574016824959E-3</v>
      </c>
      <c r="FD40" s="15">
        <f>FB40</f>
        <v>4.4411385347921932</v>
      </c>
      <c r="FE40" s="15">
        <f>($I40/FD40)/1000</f>
        <v>2.2588186352281085E-3</v>
      </c>
      <c r="FF40" s="24">
        <f>FC40-FE40+$J40</f>
        <v>2.0589805433121056E-2</v>
      </c>
      <c r="FG40" s="16">
        <f>FF40/$D40</f>
        <v>2.0589805433121056E-2</v>
      </c>
      <c r="FH40" s="14">
        <f>FC40*$AC$11</f>
        <v>19.182245672930176</v>
      </c>
      <c r="FI40" s="14">
        <f>FE40*$M40*$AD$7*$E$11</f>
        <v>2.1680886369657739</v>
      </c>
      <c r="FJ40" s="14">
        <f>FH40-FI40+$K40</f>
        <v>93.159157035964412</v>
      </c>
      <c r="FK40" s="44">
        <f>FJ40/$D40</f>
        <v>93.159157035964412</v>
      </c>
      <c r="FL40" s="43">
        <f>113+10</f>
        <v>123</v>
      </c>
      <c r="FM40" s="15">
        <f>$I$3+$I$4*FL40+$I$5*($G40/$H40)+$I$6*FL40^2+$I$7*($G40/$H40)^2+$I$8*FL40*($G40/$H40)+$I$9*FL40^3+$I$10*($G40/$H40)^3+$I$11*FL40*($G40/$H40)^2+$I$12*FL40^2*($G40/$H40)</f>
        <v>3.7435346003448799</v>
      </c>
      <c r="FN40" s="15">
        <f>$G$40/(FM40*1000)</f>
        <v>7.9271334908239243E-3</v>
      </c>
      <c r="FO40" s="15">
        <f>FM40</f>
        <v>3.7435346003448799</v>
      </c>
      <c r="FP40" s="15">
        <f>($I40/FO40)/1000</f>
        <v>2.679747232226483E-3</v>
      </c>
      <c r="FQ40" s="24">
        <f>FN40-FP40+$J40</f>
        <v>2.1414052925264108E-2</v>
      </c>
      <c r="FR40" s="16">
        <f>FQ40/$D40</f>
        <v>2.1414052925264108E-2</v>
      </c>
      <c r="FS40" s="14">
        <f>FN40*$AD$11</f>
        <v>22.507858881183456</v>
      </c>
      <c r="FT40" s="14">
        <f>FP40*$M40*$AE$7*$E$11</f>
        <v>2.8382849367629626</v>
      </c>
      <c r="FU40" s="14">
        <f>FS40-FT40+$K40</f>
        <v>95.814573944420502</v>
      </c>
      <c r="FV40" s="44">
        <f>FU40/$D40</f>
        <v>95.814573944420502</v>
      </c>
      <c r="FW40" s="43">
        <f>85+10</f>
        <v>95</v>
      </c>
      <c r="FX40" s="15">
        <f>$I$3+$I$4*FW40+$I$5*($G40/$H40)+$I$6*FW40^2+$I$7*($G40/$H40)^2+$I$8*FW40*($G40/$H40)+$I$9*FW40^3+$I$10*($G40/$H40)^3+$I$11*FW40*($G40/$H40)^2+$I$12*FW40^2*($G40/$H40)</f>
        <v>5.9475842346941983</v>
      </c>
      <c r="FY40" s="15">
        <f>$G$40/(FX40*1000)</f>
        <v>4.9895045338484139E-3</v>
      </c>
      <c r="FZ40" s="15">
        <f>FX40</f>
        <v>5.9475842346941983</v>
      </c>
      <c r="GA40" s="15">
        <f>($I40/FZ40)/1000</f>
        <v>1.6866892654499844E-3</v>
      </c>
      <c r="GB40" s="24">
        <f>FY40-GA40+$J40</f>
        <v>1.9469481935065095E-2</v>
      </c>
      <c r="GC40" s="16">
        <f>GB40/$D40</f>
        <v>1.9469481935065095E-2</v>
      </c>
      <c r="GD40" s="14">
        <f>FY40*$AE$11</f>
        <v>15.632985444466014</v>
      </c>
      <c r="GE40" s="14">
        <f>GA40*$M40*$AF$7*$E$11</f>
        <v>1.4930694018895792</v>
      </c>
      <c r="GF40" s="14">
        <f>GD40-GE40+$K40</f>
        <v>90.284916042576441</v>
      </c>
      <c r="GG40" s="44">
        <f>GF40/$D40</f>
        <v>90.284916042576441</v>
      </c>
    </row>
    <row r="41" spans="2:202" ht="14.4" hidden="1" x14ac:dyDescent="0.3">
      <c r="B41" s="30" t="s">
        <v>114</v>
      </c>
      <c r="C41" s="7"/>
      <c r="D41" s="7"/>
      <c r="E41" s="7"/>
      <c r="F41" s="3"/>
      <c r="G41" s="3"/>
      <c r="H41" s="8"/>
      <c r="I41" s="12"/>
      <c r="J41" s="111"/>
      <c r="K41" s="108"/>
      <c r="L41" s="98"/>
      <c r="M41" s="97"/>
      <c r="N41" s="45"/>
      <c r="O41" s="22"/>
      <c r="P41" s="15"/>
      <c r="Q41" s="22"/>
      <c r="R41" s="15"/>
      <c r="S41" s="24"/>
      <c r="T41" s="16"/>
      <c r="U41" s="14"/>
      <c r="V41" s="14"/>
      <c r="W41" s="14"/>
      <c r="X41" s="44"/>
      <c r="Y41" s="45"/>
      <c r="Z41" s="22"/>
      <c r="AA41" s="15"/>
      <c r="AB41" s="22"/>
      <c r="AC41" s="15"/>
      <c r="AD41" s="24"/>
      <c r="AE41" s="16"/>
      <c r="AF41" s="14"/>
      <c r="AG41" s="14"/>
      <c r="AH41" s="14"/>
      <c r="AI41" s="44"/>
      <c r="AJ41" s="45"/>
      <c r="AK41" s="22"/>
      <c r="AL41" s="15"/>
      <c r="AM41" s="22"/>
      <c r="AN41" s="15"/>
      <c r="AO41" s="24"/>
      <c r="AP41" s="16"/>
      <c r="AQ41" s="14"/>
      <c r="AR41" s="14"/>
      <c r="AS41" s="14"/>
      <c r="AT41" s="44"/>
      <c r="AU41" s="45"/>
      <c r="AV41" s="22"/>
      <c r="AW41" s="15"/>
      <c r="AX41" s="22"/>
      <c r="AY41" s="15"/>
      <c r="AZ41" s="24"/>
      <c r="BA41" s="16"/>
      <c r="BB41" s="14"/>
      <c r="BC41" s="14"/>
      <c r="BD41" s="14"/>
      <c r="BE41" s="44"/>
      <c r="BF41" s="45"/>
      <c r="BG41" s="22"/>
      <c r="BH41" s="15"/>
      <c r="BI41" s="22"/>
      <c r="BJ41" s="15"/>
      <c r="BK41" s="24"/>
      <c r="BL41" s="16"/>
      <c r="BM41" s="14"/>
      <c r="BN41" s="14"/>
      <c r="BO41" s="14"/>
      <c r="BP41" s="44"/>
      <c r="BQ41" s="45"/>
      <c r="BR41" s="22"/>
      <c r="BS41" s="15"/>
      <c r="BT41" s="22"/>
      <c r="BU41" s="15"/>
      <c r="BV41" s="24"/>
      <c r="BW41" s="16"/>
      <c r="BX41" s="14"/>
      <c r="BY41" s="14"/>
      <c r="BZ41" s="14"/>
      <c r="CA41" s="44"/>
      <c r="CB41" s="45"/>
      <c r="CC41" s="22"/>
      <c r="CD41" s="15"/>
      <c r="CE41" s="22"/>
      <c r="CF41" s="15"/>
      <c r="CG41" s="24"/>
      <c r="CH41" s="16"/>
      <c r="CI41" s="14"/>
      <c r="CJ41" s="14"/>
      <c r="CK41" s="14"/>
      <c r="CL41" s="44"/>
      <c r="CM41" s="45"/>
      <c r="CN41" s="22"/>
      <c r="CO41" s="15"/>
      <c r="CP41" s="22"/>
      <c r="CQ41" s="15"/>
      <c r="CR41" s="24"/>
      <c r="CS41" s="16"/>
      <c r="CT41" s="14"/>
      <c r="CU41" s="14"/>
      <c r="CV41" s="14"/>
      <c r="CW41" s="44"/>
      <c r="CX41" s="45"/>
      <c r="CY41" s="22"/>
      <c r="CZ41" s="15"/>
      <c r="DA41" s="22"/>
      <c r="DB41" s="15"/>
      <c r="DC41" s="24"/>
      <c r="DD41" s="16"/>
      <c r="DE41" s="14"/>
      <c r="DF41" s="14"/>
      <c r="DG41" s="14"/>
      <c r="DH41" s="44"/>
      <c r="DI41" s="45"/>
      <c r="DJ41" s="22"/>
      <c r="DK41" s="15"/>
      <c r="DL41" s="22"/>
      <c r="DM41" s="15"/>
      <c r="DN41" s="24"/>
      <c r="DO41" s="16"/>
      <c r="DP41" s="14"/>
      <c r="DQ41" s="14"/>
      <c r="DR41" s="14"/>
      <c r="DS41" s="44"/>
      <c r="DT41" s="45"/>
      <c r="DU41" s="22"/>
      <c r="DV41" s="15"/>
      <c r="DW41" s="22"/>
      <c r="DX41" s="15"/>
      <c r="DY41" s="24"/>
      <c r="DZ41" s="16"/>
      <c r="EA41" s="14"/>
      <c r="EB41" s="14"/>
      <c r="EC41" s="14"/>
      <c r="ED41" s="44"/>
      <c r="EE41" s="45"/>
      <c r="EF41" s="22"/>
      <c r="EG41" s="15"/>
      <c r="EH41" s="22"/>
      <c r="EI41" s="15"/>
      <c r="EJ41" s="24"/>
      <c r="EK41" s="16"/>
      <c r="EL41" s="14"/>
      <c r="EM41" s="14"/>
      <c r="EN41" s="14"/>
      <c r="EO41" s="44"/>
      <c r="EP41" s="45"/>
      <c r="EQ41" s="22"/>
      <c r="ER41" s="15"/>
      <c r="ES41" s="22"/>
      <c r="ET41" s="15"/>
      <c r="EU41" s="24"/>
      <c r="EV41" s="16"/>
      <c r="EW41" s="14"/>
      <c r="EX41" s="14"/>
      <c r="EY41" s="14"/>
      <c r="EZ41" s="44"/>
      <c r="FA41" s="45"/>
      <c r="FB41" s="22"/>
      <c r="FC41" s="15"/>
      <c r="FD41" s="22"/>
      <c r="FE41" s="15"/>
      <c r="FF41" s="24"/>
      <c r="FG41" s="16"/>
      <c r="FH41" s="14"/>
      <c r="FI41" s="14"/>
      <c r="FJ41" s="14"/>
      <c r="FK41" s="44"/>
      <c r="FL41" s="45"/>
      <c r="FM41" s="22"/>
      <c r="FN41" s="15"/>
      <c r="FO41" s="22"/>
      <c r="FP41" s="15"/>
      <c r="FQ41" s="24"/>
      <c r="FR41" s="16"/>
      <c r="FS41" s="14"/>
      <c r="FT41" s="14"/>
      <c r="FU41" s="14"/>
      <c r="FV41" s="44"/>
      <c r="FW41" s="45"/>
      <c r="FX41" s="22"/>
      <c r="FY41" s="15"/>
      <c r="FZ41" s="22"/>
      <c r="GA41" s="15"/>
      <c r="GB41" s="24"/>
      <c r="GC41" s="16"/>
      <c r="GD41" s="14"/>
      <c r="GE41" s="14"/>
      <c r="GF41" s="14"/>
      <c r="GG41" s="44"/>
      <c r="GH41" s="1" t="s">
        <v>0</v>
      </c>
      <c r="GI41" s="61" t="e">
        <f>#REF!</f>
        <v>#REF!</v>
      </c>
      <c r="GJ41" s="62" t="e">
        <f>#REF!</f>
        <v>#REF!</v>
      </c>
      <c r="GK41" s="61" t="e">
        <f>#REF!</f>
        <v>#REF!</v>
      </c>
      <c r="GL41" s="62" t="e">
        <f>#REF!</f>
        <v>#REF!</v>
      </c>
      <c r="GM41" s="61" t="e">
        <f>#REF!</f>
        <v>#REF!</v>
      </c>
      <c r="GN41" s="62" t="e">
        <f>#REF!</f>
        <v>#REF!</v>
      </c>
      <c r="GO41" s="61" t="e">
        <f>#REF!</f>
        <v>#REF!</v>
      </c>
      <c r="GP41" s="62" t="e">
        <f>#REF!</f>
        <v>#REF!</v>
      </c>
      <c r="GQ41" s="61" t="e">
        <f>#REF!</f>
        <v>#REF!</v>
      </c>
      <c r="GR41" s="62" t="e">
        <f>#REF!</f>
        <v>#REF!</v>
      </c>
      <c r="GS41" s="61" t="e">
        <f>#REF!</f>
        <v>#REF!</v>
      </c>
      <c r="GT41" s="62" t="e">
        <f>#REF!</f>
        <v>#REF!</v>
      </c>
    </row>
    <row r="42" spans="2:202" ht="13.8" hidden="1" x14ac:dyDescent="0.25">
      <c r="B42" s="31" t="s">
        <v>132</v>
      </c>
      <c r="C42" s="3" t="s">
        <v>115</v>
      </c>
      <c r="D42" s="3">
        <v>1</v>
      </c>
      <c r="E42" s="3">
        <v>38</v>
      </c>
      <c r="F42" s="3">
        <f>E42-10</f>
        <v>28</v>
      </c>
      <c r="G42" s="11">
        <f>'Cooling Load'!$F$33</f>
        <v>29.675498504452051</v>
      </c>
      <c r="H42" s="14">
        <f>G42*1.15</f>
        <v>34.126823280119858</v>
      </c>
      <c r="I42" s="14">
        <f>'Cooling Load'!$I$33</f>
        <v>10.031726484018265</v>
      </c>
      <c r="J42" s="110">
        <f>'Cooling Load'!$I$21</f>
        <v>1.6166666666666666E-2</v>
      </c>
      <c r="K42" s="109">
        <f>'Cooling Load'!$I$27</f>
        <v>76.14500000000001</v>
      </c>
      <c r="L42" s="98">
        <f>I42/H42</f>
        <v>0.29395430103985443</v>
      </c>
      <c r="M42" s="97">
        <f>(1-(1-L42))*(1-$D$8)</f>
        <v>0.27925658598786168</v>
      </c>
      <c r="N42" s="43">
        <f>69+15</f>
        <v>84</v>
      </c>
      <c r="O42" s="15">
        <f>$H$3+$H$4*N42+$H$5*($G42/$H42)+$H$6*N42^2+$H$7*($G42/$H42)^2+$H$8*N42*($G42/$H42)+$H$9*N42^3+$H$10*($G42/$H42)^3+$H$11*N42*($G42/$H42)^2+$H$12*N42^2*($G42/$H42)</f>
        <v>9.517424087669232</v>
      </c>
      <c r="P42" s="15">
        <f>$G$21/(O42*1000)</f>
        <v>5.0159418116143316E-3</v>
      </c>
      <c r="Q42" s="15">
        <f>O42</f>
        <v>9.517424087669232</v>
      </c>
      <c r="R42" s="15">
        <f>($I42/Q42)/1000</f>
        <v>1.0540379825057246E-3</v>
      </c>
      <c r="S42" s="24">
        <f>P42-R42+$J42</f>
        <v>2.0128570495775273E-2</v>
      </c>
      <c r="T42" s="16">
        <f>S42/$D42</f>
        <v>2.0128570495775273E-2</v>
      </c>
      <c r="U42" s="14">
        <f>P42*$Q$10</f>
        <v>14.492622982689511</v>
      </c>
      <c r="V42" s="14">
        <f>R42*$M42*$Q$7*$D$11</f>
        <v>1.0295049168716965</v>
      </c>
      <c r="W42" s="14">
        <f>U42-V42+$K42</f>
        <v>89.60811806581782</v>
      </c>
      <c r="X42" s="44">
        <f>W42/$D42</f>
        <v>89.60811806581782</v>
      </c>
      <c r="Y42" s="43">
        <f>96+15</f>
        <v>111</v>
      </c>
      <c r="Z42" s="15">
        <f>$H$3+$H$4*Y42+$H$5*($G42/$H42)+$H$6*Y42^2+$H$7*($G42/$H42)^2+$H$8*Y42*($G42/$H42)+$H$9*Y42^3+$H$10*($G42/$H42)^3+$H$11*Y42*($G42/$H42)^2+$H$12*Y42^2*($G42/$H42)</f>
        <v>6.4425744504920166</v>
      </c>
      <c r="AA42" s="15">
        <f>$G$21/(Z42*1000)</f>
        <v>7.4099020177500136E-3</v>
      </c>
      <c r="AB42" s="15">
        <f>Z42</f>
        <v>6.4425744504920166</v>
      </c>
      <c r="AC42" s="15">
        <f>($I42/AB42)/1000</f>
        <v>1.5570990387627024E-3</v>
      </c>
      <c r="AD42" s="24">
        <f>AA42-AC42+$J42</f>
        <v>2.2019469645653978E-2</v>
      </c>
      <c r="AE42" s="16">
        <f>AD42/$D42</f>
        <v>2.2019469645653978E-2</v>
      </c>
      <c r="AF42" s="14">
        <f>AA42*$R$10</f>
        <v>21.566182055926511</v>
      </c>
      <c r="AG42" s="14">
        <f>AC42*$M42*$R$7*$D$11</f>
        <v>1.5319856516826471</v>
      </c>
      <c r="AH42" s="14">
        <f>AF42-AG42+$K42</f>
        <v>96.179196404243868</v>
      </c>
      <c r="AI42" s="44">
        <f>AH42/$D42</f>
        <v>96.179196404243868</v>
      </c>
      <c r="AJ42" s="43">
        <f>89+15</f>
        <v>104</v>
      </c>
      <c r="AK42" s="15">
        <f>$H$3+$H$4*AJ42+$H$5*($G42/$H42)+$H$6*AJ42^2+$H$7*($G42/$H42)^2+$H$8*AJ42*($G42/$H42)+$H$9*AJ42^3+$H$10*($G42/$H42)^3+$H$11*AJ42*($G42/$H42)^2+$H$12*AJ42^2*($G42/$H42)</f>
        <v>7.1731404854674166</v>
      </c>
      <c r="AL42" s="15">
        <f>$G$21/(AK42*1000)</f>
        <v>6.6552224255084719E-3</v>
      </c>
      <c r="AM42" s="15">
        <f>AK42</f>
        <v>7.1731404854674166</v>
      </c>
      <c r="AN42" s="15">
        <f>($I42/AM42)/1000</f>
        <v>1.398512479205205E-3</v>
      </c>
      <c r="AO42" s="24">
        <f>AL42-AN42+$J42</f>
        <v>2.1423376612969933E-2</v>
      </c>
      <c r="AP42" s="16">
        <f>AO42/$D42</f>
        <v>2.1423376612969933E-2</v>
      </c>
      <c r="AQ42" s="14">
        <f>AL42*$Q$10</f>
        <v>19.229016823022654</v>
      </c>
      <c r="AR42" s="14">
        <f>AN42*$M42*$S$7*$D$11</f>
        <v>1.3988412533695525</v>
      </c>
      <c r="AS42" s="14">
        <f>AQ42-AR42+$K42</f>
        <v>93.975175569653118</v>
      </c>
      <c r="AT42" s="44">
        <f>AS42/$D42</f>
        <v>93.975175569653118</v>
      </c>
      <c r="AU42" s="43">
        <f>88+15</f>
        <v>103</v>
      </c>
      <c r="AV42" s="15">
        <f>$H$3+$H$4*AU42+$H$5*($G42/$H42)+$H$6*AU42^2+$H$7*($G42/$H42)^2+$H$8*AU42*($G42/$H42)+$H$9*AU42^3+$H$10*($G42/$H42)^3+$H$11*AU42*($G42/$H42)^2+$H$12*AU42^2*($G42/$H42)</f>
        <v>7.281090917823354</v>
      </c>
      <c r="AW42" s="15">
        <f>$G$21/(AV42*1000)</f>
        <v>6.5565512035216785E-3</v>
      </c>
      <c r="AX42" s="15">
        <f>AV42</f>
        <v>7.281090917823354</v>
      </c>
      <c r="AY42" s="15">
        <f>($I42/AX42)/1000</f>
        <v>1.3777779452611475E-3</v>
      </c>
      <c r="AZ42" s="24">
        <f>AW42-AY42+$J42</f>
        <v>2.1345439924927198E-2</v>
      </c>
      <c r="BA42" s="16">
        <f>AZ42/$D42</f>
        <v>2.1345439924927198E-2</v>
      </c>
      <c r="BB42" s="14">
        <f>AW42*$S$10</f>
        <v>19.399917517313437</v>
      </c>
      <c r="BC42" s="14">
        <f>AY42*$M42*$T$7*$D$11</f>
        <v>1.4111705129691121</v>
      </c>
      <c r="BD42" s="14">
        <f>BB42-BC42+$K42</f>
        <v>94.133747004344343</v>
      </c>
      <c r="BE42" s="44">
        <f>BD42/$D42</f>
        <v>94.133747004344343</v>
      </c>
      <c r="BF42" s="43">
        <f>83+15</f>
        <v>98</v>
      </c>
      <c r="BG42" s="15">
        <f>$H$3+$H$4*BF42+$H$5*($G42/$H42)+$H$6*BF42^2+$H$7*($G42/$H42)^2+$H$8*BF42*($G42/$H42)+$H$9*BF42^3+$H$10*($G42/$H42)^3+$H$11*BF42*($G42/$H42)^2+$H$12*BF42^2*($G42/$H42)</f>
        <v>7.8348543036092488</v>
      </c>
      <c r="BH42" s="15">
        <f>$G$21/(BG42*1000)</f>
        <v>6.0931376092359275E-3</v>
      </c>
      <c r="BI42" s="15">
        <f>BG42</f>
        <v>7.8348543036092488</v>
      </c>
      <c r="BJ42" s="15">
        <f>($I42/BI42)/1000</f>
        <v>1.2803973239677211E-3</v>
      </c>
      <c r="BK42" s="24">
        <f>BH42-BJ42+$J42</f>
        <v>2.097940695193487E-2</v>
      </c>
      <c r="BL42" s="16">
        <f>BK42/$D42</f>
        <v>2.097940695193487E-2</v>
      </c>
      <c r="BM42" s="14">
        <f>BH42*$T$10</f>
        <v>18.461355769661132</v>
      </c>
      <c r="BN42" s="14">
        <f>BJ42*$M42*$U$7*$D$11</f>
        <v>1.284349218923162</v>
      </c>
      <c r="BO42" s="14">
        <f>BM42-BN42+$K42</f>
        <v>93.322006550737981</v>
      </c>
      <c r="BP42" s="44">
        <f>BO42/$D42</f>
        <v>93.322006550737981</v>
      </c>
      <c r="BQ42" s="43">
        <f>84+15</f>
        <v>99</v>
      </c>
      <c r="BR42" s="15">
        <f>$H$3+$H$4*BQ42+$H$5*($G42/$H42)+$H$6*BQ42^2+$H$7*($G42/$H42)^2+$H$8*BQ42*($G42/$H42)+$H$9*BQ42^3+$H$10*($G42/$H42)^3+$H$11*BQ42*($G42/$H42)^2+$H$12*BQ42^2*($G42/$H42)</f>
        <v>7.7222041420068654</v>
      </c>
      <c r="BS42" s="15">
        <f>$G$21/(BR42*1000)</f>
        <v>6.1820232335633371E-3</v>
      </c>
      <c r="BT42" s="15">
        <f>BR42</f>
        <v>7.7222041420068654</v>
      </c>
      <c r="BU42" s="15">
        <f>($I42/BT42)/1000</f>
        <v>1.2990755358885391E-3</v>
      </c>
      <c r="BV42" s="24">
        <f>BS42-BU42+$J42</f>
        <v>2.1049614364341464E-2</v>
      </c>
      <c r="BW42" s="16">
        <f>BV42/$D42</f>
        <v>2.1049614364341464E-2</v>
      </c>
      <c r="BX42" s="14">
        <f>BS42*$U$10</f>
        <v>18.343885954352267</v>
      </c>
      <c r="BY42" s="14">
        <f>BU42*$M42*$V$7*$D$11</f>
        <v>1.3481325446752273</v>
      </c>
      <c r="BZ42" s="14">
        <f>BX42-BY42+$K42</f>
        <v>93.140753409677046</v>
      </c>
      <c r="CA42" s="44">
        <f>BZ42/$D42</f>
        <v>93.140753409677046</v>
      </c>
      <c r="CB42" s="43">
        <f>83+15</f>
        <v>98</v>
      </c>
      <c r="CC42" s="15">
        <f>$H$3+$H$4*CB42+$H$5*($G42/$H42)+$H$6*CB42^2+$H$7*($G42/$H42)^2+$H$8*CB42*($G42/$H42)+$H$9*CB42^3+$H$10*($G42/$H42)^3+$H$11*CB42*($G42/$H42)^2+$H$12*CB42^2*($G42/$H42)</f>
        <v>7.8348543036092488</v>
      </c>
      <c r="CD42" s="15">
        <f>$G$21/(CC42*1000)</f>
        <v>6.0931376092359275E-3</v>
      </c>
      <c r="CE42" s="15">
        <f>CC42</f>
        <v>7.8348543036092488</v>
      </c>
      <c r="CF42" s="15">
        <f>($I42/CE42)/1000</f>
        <v>1.2803973239677211E-3</v>
      </c>
      <c r="CG42" s="24">
        <f>CD42-CF42+$J42</f>
        <v>2.097940695193487E-2</v>
      </c>
      <c r="CH42" s="16">
        <f>CG42/$D42</f>
        <v>2.097940695193487E-2</v>
      </c>
      <c r="CI42" s="14">
        <f>CD42*$V$10</f>
        <v>18.705163806359248</v>
      </c>
      <c r="CJ42" s="14">
        <f>CF42*$M42*$W$7*$D$11</f>
        <v>1.3426709707741757</v>
      </c>
      <c r="CK42" s="14">
        <f>CI42-CJ42+$K42</f>
        <v>93.507492835585083</v>
      </c>
      <c r="CL42" s="44">
        <f>CK42/$D42</f>
        <v>93.507492835585083</v>
      </c>
      <c r="CM42" s="43">
        <f>89+15</f>
        <v>104</v>
      </c>
      <c r="CN42" s="15">
        <f>$H$3+$H$4*CM42+$H$5*($G42/$H42)+$H$6*CM42^2+$H$7*($G42/$H42)^2+$H$8*CM42*($G42/$H42)+$H$9*CM42^3+$H$10*($G42/$H42)^3+$H$11*CM42*($G42/$H42)^2+$H$12*CM42^2*($G42/$H42)</f>
        <v>7.1731404854674166</v>
      </c>
      <c r="CO42" s="15">
        <f>$G$21/(CN42*1000)</f>
        <v>6.6552224255084719E-3</v>
      </c>
      <c r="CP42" s="15">
        <f>CN42</f>
        <v>7.1731404854674166</v>
      </c>
      <c r="CQ42" s="15">
        <f>($I42/CP42)/1000</f>
        <v>1.398512479205205E-3</v>
      </c>
      <c r="CR42" s="24">
        <f>CO42-CQ42+$J42</f>
        <v>2.1423376612969933E-2</v>
      </c>
      <c r="CS42" s="16">
        <f>CR42/$D42</f>
        <v>2.1423376612969933E-2</v>
      </c>
      <c r="CT42" s="14">
        <f>CO42*$W$10</f>
        <v>20.644756121350138</v>
      </c>
      <c r="CU42" s="14">
        <f>CQ42*$M42*$X$7*$D$11</f>
        <v>1.4601020361165991</v>
      </c>
      <c r="CV42" s="14">
        <f>CT42-CU42+$K42</f>
        <v>95.329654085233557</v>
      </c>
      <c r="CW42" s="44">
        <f>CV42/$D42</f>
        <v>95.329654085233557</v>
      </c>
      <c r="CX42" s="43">
        <f>94+15</f>
        <v>109</v>
      </c>
      <c r="CY42" s="15">
        <f>$H$3+$H$4*CX42+$H$5*($G42/$H42)+$H$6*CX42^2+$H$7*($G42/$H42)^2+$H$8*CX42*($G42/$H42)+$H$9*CX42^3+$H$10*($G42/$H42)^3+$H$11*CX42*($G42/$H42)^2+$H$12*CX42^2*($G42/$H42)</f>
        <v>6.6469157471616587</v>
      </c>
      <c r="CZ42" s="15">
        <f>$G$21/(CY42*1000)</f>
        <v>7.1821047890656261E-3</v>
      </c>
      <c r="DA42" s="15">
        <f>CY42</f>
        <v>6.6469157471616587</v>
      </c>
      <c r="DB42" s="15">
        <f>($I42/DA42)/1000</f>
        <v>1.5092302754554959E-3</v>
      </c>
      <c r="DC42" s="24">
        <f>CZ42-DB42+$J42</f>
        <v>2.1839541180276797E-2</v>
      </c>
      <c r="DD42" s="16">
        <f>DC42/$D42</f>
        <v>2.1839541180276797E-2</v>
      </c>
      <c r="DE42" s="14">
        <f>CZ42*$X$10</f>
        <v>22.181501379725624</v>
      </c>
      <c r="DF42" s="14">
        <f>DB42*$M42*$Y$7*$D$11</f>
        <v>1.5598523713871559</v>
      </c>
      <c r="DG42" s="14">
        <f>DE42-DF42+$K42</f>
        <v>96.766649008338476</v>
      </c>
      <c r="DH42" s="44">
        <f>DG42/$D42</f>
        <v>96.766649008338476</v>
      </c>
      <c r="DI42" s="43">
        <f>100+15</f>
        <v>115</v>
      </c>
      <c r="DJ42" s="15">
        <f>$H$3+$H$4*DI42+$H$5*($G42/$H42)+$H$6*DI42^2+$H$7*($G42/$H42)^2+$H$8*DI42*($G42/$H42)+$H$9*DI42^3+$H$10*($G42/$H42)^3+$H$11*DI42*($G42/$H42)^2+$H$12*DI42^2*($G42/$H42)</f>
        <v>6.044045271560071</v>
      </c>
      <c r="DK42" s="15">
        <f>$G$21/(DJ42*1000)</f>
        <v>7.8984923631922541E-3</v>
      </c>
      <c r="DL42" s="15">
        <f>DJ42</f>
        <v>6.044045271560071</v>
      </c>
      <c r="DM42" s="15">
        <f>($I42/DL42)/1000</f>
        <v>1.6597702421624822E-3</v>
      </c>
      <c r="DN42" s="24">
        <f>DK42-DM42+$J42</f>
        <v>2.2405388787696438E-2</v>
      </c>
      <c r="DO42" s="16">
        <f>DN42/$D42</f>
        <v>2.2405388787696438E-2</v>
      </c>
      <c r="DP42" s="14">
        <f>DK42*$Y$10</f>
        <v>24.148743136338016</v>
      </c>
      <c r="DQ42" s="14">
        <f>DM42*$M42*$Z$7*$D$11</f>
        <v>1.6970488558591061</v>
      </c>
      <c r="DR42" s="14">
        <f>DP42-DQ42+$K42</f>
        <v>98.596694280478914</v>
      </c>
      <c r="DS42" s="44">
        <f>DR42/$D42</f>
        <v>98.596694280478914</v>
      </c>
      <c r="DT42" s="43">
        <f>104+15</f>
        <v>119</v>
      </c>
      <c r="DU42" s="15">
        <f>$H$3+$H$4*DT42+$H$5*($G42/$H42)+$H$6*DT42^2+$H$7*($G42/$H42)^2+$H$8*DT42*($G42/$H42)+$H$9*DT42^3+$H$10*($G42/$H42)^3+$H$11*DT42*($G42/$H42)^2+$H$12*DT42^2*($G42/$H42)</f>
        <v>5.6585848385945274</v>
      </c>
      <c r="DV42" s="15">
        <f>$G$21/(DU42*1000)</f>
        <v>8.4365343600755829E-3</v>
      </c>
      <c r="DW42" s="15">
        <f>DU42</f>
        <v>5.6585848385945274</v>
      </c>
      <c r="DX42" s="15">
        <f>($I42/DW42)/1000</f>
        <v>1.7728330969956673E-3</v>
      </c>
      <c r="DY42" s="24">
        <f>DV42-DX42+$J42</f>
        <v>2.2830367929746583E-2</v>
      </c>
      <c r="DZ42" s="16">
        <f>DY42/$D42</f>
        <v>2.2830367929746583E-2</v>
      </c>
      <c r="EA42" s="14">
        <f>DV42*$Z$10</f>
        <v>25.517186725122265</v>
      </c>
      <c r="EB42" s="14">
        <f>DX42*$M42*$AA$7*$D$11</f>
        <v>1.7477078262360533</v>
      </c>
      <c r="EC42" s="14">
        <f>EA42-EB42+$K42</f>
        <v>99.914478898886216</v>
      </c>
      <c r="ED42" s="44">
        <f>EC42/$D42</f>
        <v>99.914478898886216</v>
      </c>
      <c r="EE42" s="43">
        <f>100+15</f>
        <v>115</v>
      </c>
      <c r="EF42" s="15">
        <f>$H$3+$H$4*EE42+$H$5*($G42/$H42)+$H$6*EE42^2+$H$7*($G42/$H42)^2+$H$8*EE42*($G42/$H42)+$H$9*EE42^3+$H$10*($G42/$H42)^3+$H$11*EE42*($G42/$H42)^2+$H$12*EE42^2*($G42/$H42)</f>
        <v>6.044045271560071</v>
      </c>
      <c r="EG42" s="15">
        <f>$G$21/(EF42*1000)</f>
        <v>7.8984923631922541E-3</v>
      </c>
      <c r="EH42" s="15">
        <f>EF42</f>
        <v>6.044045271560071</v>
      </c>
      <c r="EI42" s="15">
        <f>($I42/EH42)/1000</f>
        <v>1.6597702421624822E-3</v>
      </c>
      <c r="EJ42" s="24">
        <f>EG42-EI42+$J42</f>
        <v>2.2405388787696438E-2</v>
      </c>
      <c r="EK42" s="16">
        <f>EJ42/$D42</f>
        <v>2.2405388787696438E-2</v>
      </c>
      <c r="EL42" s="14">
        <f>EG42*$AA$10</f>
        <v>23.033902450559889</v>
      </c>
      <c r="EM42" s="14">
        <f>EI42*$M42*$AB$7*$D$11</f>
        <v>1.6619582832278907</v>
      </c>
      <c r="EN42" s="14">
        <f>EL42-EM42+$K42</f>
        <v>97.516944167332014</v>
      </c>
      <c r="EO42" s="44">
        <f>EN42/$D42</f>
        <v>97.516944167332014</v>
      </c>
      <c r="EP42" s="43">
        <f>101+15</f>
        <v>116</v>
      </c>
      <c r="EQ42" s="15">
        <f>$H$3+$H$4*EP42+$H$5*($G42/$H42)+$H$6*EP42^2+$H$7*($G42/$H42)^2+$H$8*EP42*($G42/$H42)+$H$9*EP42^3+$H$10*($G42/$H42)^3+$H$11*EP42*($G42/$H42)^2+$H$12*EP42^2*($G42/$H42)</f>
        <v>5.9464769593176205</v>
      </c>
      <c r="ER42" s="15">
        <f>$G$21/(EQ42*1000)</f>
        <v>8.0280888577904594E-3</v>
      </c>
      <c r="ES42" s="15">
        <f>EQ42</f>
        <v>5.9464769593176205</v>
      </c>
      <c r="ET42" s="15">
        <f>($I42/ES42)/1000</f>
        <v>1.6870033387246894E-3</v>
      </c>
      <c r="EU42" s="24">
        <f>ER42-ET42+$J42</f>
        <v>2.2507752185732435E-2</v>
      </c>
      <c r="EV42" s="16">
        <f>EU42/$D42</f>
        <v>2.2507752185732435E-2</v>
      </c>
      <c r="EW42" s="14">
        <f>ER42*$AB$10</f>
        <v>23.779715578754843</v>
      </c>
      <c r="EX42" s="14">
        <f>ET42*$M42*$AC$7*$D$11</f>
        <v>1.7281062604350166</v>
      </c>
      <c r="EY42" s="14">
        <f>EW42-EX42+$K42</f>
        <v>98.196609318319844</v>
      </c>
      <c r="EZ42" s="44">
        <f>EY42/$D42</f>
        <v>98.196609318319844</v>
      </c>
      <c r="FA42" s="43">
        <f>108+15</f>
        <v>123</v>
      </c>
      <c r="FB42" s="15">
        <f>$H$3+$H$4*FA42+$H$5*($G42/$H42)+$H$6*FA42^2+$H$7*($G42/$H42)^2+$H$8*FA42*($G42/$H42)+$H$9*FA42^3+$H$10*($G42/$H42)^3+$H$11*FA42*($G42/$H42)^2+$H$12*FA42^2*($G42/$H42)</f>
        <v>5.2856301837033222</v>
      </c>
      <c r="FC42" s="15">
        <f>$G$21/(FB42*1000)</f>
        <v>9.031817164847078E-3</v>
      </c>
      <c r="FD42" s="15">
        <f>FB42</f>
        <v>5.2856301837033222</v>
      </c>
      <c r="FE42" s="15">
        <f>($I42/FD42)/1000</f>
        <v>1.8979243979172298E-3</v>
      </c>
      <c r="FF42" s="24">
        <f>FC42-FE42+$J42</f>
        <v>2.3300559433596515E-2</v>
      </c>
      <c r="FG42" s="16">
        <f>FF42/$D42</f>
        <v>2.3300559433596515E-2</v>
      </c>
      <c r="FH42" s="14">
        <f>FC42*$AC$10</f>
        <v>27.368562009354285</v>
      </c>
      <c r="FI42" s="14">
        <f>FE42*$M42*$AD$7*$D$11</f>
        <v>1.9228954679284598</v>
      </c>
      <c r="FJ42" s="14">
        <f>FH42-FI42+$K42</f>
        <v>101.59066654142583</v>
      </c>
      <c r="FK42" s="44">
        <f>FJ42/$D42</f>
        <v>101.59066654142583</v>
      </c>
      <c r="FL42" s="43">
        <f>111+15</f>
        <v>126</v>
      </c>
      <c r="FM42" s="15">
        <f>$H$3+$H$4*FL42+$H$5*($G42/$H42)+$H$6*FL42^2+$H$7*($G42/$H42)^2+$H$8*FL42*($G42/$H42)+$H$9*FL42^3+$H$10*($G42/$H42)^3+$H$11*FL42*($G42/$H42)^2+$H$12*FL42^2*($G42/$H42)</f>
        <v>5.0137824490236378</v>
      </c>
      <c r="FN42" s="15">
        <f>$G$21/(FM42*1000)</f>
        <v>9.5215231026830709E-3</v>
      </c>
      <c r="FO42" s="15">
        <f>FM42</f>
        <v>5.0137824490236378</v>
      </c>
      <c r="FP42" s="15">
        <f>($I42/FO42)/1000</f>
        <v>2.0008300292270955E-3</v>
      </c>
      <c r="FQ42" s="24">
        <f>FN42-FP42+$J42</f>
        <v>2.3687359740122642E-2</v>
      </c>
      <c r="FR42" s="16">
        <f>FQ42/$D42</f>
        <v>2.3687359740122642E-2</v>
      </c>
      <c r="FS42" s="14">
        <f>FN42*$AD$10</f>
        <v>28.53681719997007</v>
      </c>
      <c r="FT42" s="14">
        <f>FP42*$M42*$AE$7*$D$11</f>
        <v>2.2369354597866726</v>
      </c>
      <c r="FU42" s="14">
        <f>FS42-FT42+$K42</f>
        <v>102.4448817401834</v>
      </c>
      <c r="FV42" s="44">
        <f>FU42/$D42</f>
        <v>102.4448817401834</v>
      </c>
      <c r="FW42" s="43">
        <f>89+15</f>
        <v>104</v>
      </c>
      <c r="FX42" s="15">
        <f>$H$3+$H$4*FW42+$H$5*($G42/$H42)+$H$6*FW42^2+$H$7*($G42/$H42)^2+$H$8*FW42*($G42/$H42)+$H$9*FW42^3+$H$10*($G42/$H42)^3+$H$11*FW42*($G42/$H42)^2+$H$12*FW42^2*($G42/$H42)</f>
        <v>7.1731404854674166</v>
      </c>
      <c r="FY42" s="15">
        <f>$G$21/(FX42*1000)</f>
        <v>6.6552224255084719E-3</v>
      </c>
      <c r="FZ42" s="15">
        <f>FX42</f>
        <v>7.1731404854674166</v>
      </c>
      <c r="GA42" s="15">
        <f>($I42/FZ42)/1000</f>
        <v>1.398512479205205E-3</v>
      </c>
      <c r="GB42" s="24">
        <f>FY42-GA42+$J42</f>
        <v>2.1423376612969933E-2</v>
      </c>
      <c r="GC42" s="16">
        <f>GB42/$D42</f>
        <v>2.1423376612969933E-2</v>
      </c>
      <c r="GD42" s="14">
        <f>FY42*$AE$10</f>
        <v>22.010412027388703</v>
      </c>
      <c r="GE42" s="14">
        <f>GA42*$M42*$AF$7*$D$11</f>
        <v>1.3067495411489911</v>
      </c>
      <c r="GF42" s="14">
        <f>GD42-GE42+$K42</f>
        <v>96.848662486239718</v>
      </c>
      <c r="GG42" s="44">
        <f>GF42/$D42</f>
        <v>96.848662486239718</v>
      </c>
    </row>
    <row r="43" spans="2:202" ht="13.8" hidden="1" x14ac:dyDescent="0.25">
      <c r="B43" s="31" t="s">
        <v>133</v>
      </c>
      <c r="C43" s="3" t="s">
        <v>115</v>
      </c>
      <c r="D43" s="3">
        <v>1</v>
      </c>
      <c r="E43" s="3">
        <v>0</v>
      </c>
      <c r="F43" s="3">
        <f>E43-10</f>
        <v>-10</v>
      </c>
      <c r="G43" s="11">
        <f>'Cooling Load'!$F$33</f>
        <v>29.675498504452051</v>
      </c>
      <c r="H43" s="14">
        <f>G43*1.15</f>
        <v>34.126823280119858</v>
      </c>
      <c r="I43" s="14">
        <f>'Cooling Load'!$I$33</f>
        <v>10.031726484018265</v>
      </c>
      <c r="J43" s="110">
        <f>'Cooling Load'!$I$21</f>
        <v>1.6166666666666666E-2</v>
      </c>
      <c r="K43" s="109">
        <f>'Cooling Load'!$I$27</f>
        <v>76.14500000000001</v>
      </c>
      <c r="L43" s="98">
        <f>I43/H43</f>
        <v>0.29395430103985443</v>
      </c>
      <c r="M43" s="97">
        <f>(1-(1-L43))*(1-$E$8)</f>
        <v>0.26455887093586899</v>
      </c>
      <c r="N43" s="43">
        <f>69+10</f>
        <v>79</v>
      </c>
      <c r="O43" s="15">
        <f>$I$3+$I$4*N43+$I$5*($G43/$H43)+$I$6*N43^2+$I$7*($G43/$H43)^2+$I$8*N43*($G43/$H43)+$I$9*N43^3+$I$10*($G43/$H43)^3+$I$11*N43*($G43/$H43)^2+$I$12*N43^2*($G43/$H43)</f>
        <v>7.7386212864169197</v>
      </c>
      <c r="P43" s="15">
        <f>$G$22/(O43*1000)</f>
        <v>6.1689083434019769E-3</v>
      </c>
      <c r="Q43" s="15">
        <f>O43</f>
        <v>7.7386212864169197</v>
      </c>
      <c r="R43" s="15">
        <f>($I43/Q43)/1000</f>
        <v>1.2963196043236122E-3</v>
      </c>
      <c r="S43" s="24">
        <f>P43-R43+$J43</f>
        <v>2.1039255405745031E-2</v>
      </c>
      <c r="T43" s="16">
        <f>S43/$D43</f>
        <v>2.1039255405745031E-2</v>
      </c>
      <c r="U43" s="14">
        <f>P43*$Q$11</f>
        <v>16.885803320296617</v>
      </c>
      <c r="V43" s="14">
        <f>R43*$M43*$Q$7*$E$11</f>
        <v>1.1995080231051247</v>
      </c>
      <c r="W43" s="14">
        <f>U43-V43+$K43</f>
        <v>91.831295297191502</v>
      </c>
      <c r="X43" s="44">
        <f>W43/$D43</f>
        <v>91.831295297191502</v>
      </c>
      <c r="Y43" s="43">
        <f>96+10</f>
        <v>106</v>
      </c>
      <c r="Z43" s="15">
        <f>$I$3+$I$4*Y43+$I$5*($G43/$H43)+$I$6*Y43^2+$I$7*($G43/$H43)^2+$I$8*Y43*($G43/$H43)+$I$9*Y43^3+$I$10*($G43/$H43)^3+$I$11*Y43*($G43/$H43)^2+$I$12*Y43^2*($G43/$H43)</f>
        <v>4.9787525693054091</v>
      </c>
      <c r="AA43" s="15">
        <f>$G$22/(Z43*1000)</f>
        <v>9.5885153471014072E-3</v>
      </c>
      <c r="AB43" s="15">
        <f>Z43</f>
        <v>4.9787525693054091</v>
      </c>
      <c r="AC43" s="15">
        <f>($I43/AB43)/1000</f>
        <v>2.0149076188009482E-3</v>
      </c>
      <c r="AD43" s="24">
        <f>AA43-AC43+$J43</f>
        <v>2.3740274394967127E-2</v>
      </c>
      <c r="AE43" s="16">
        <f>AD43/$D43</f>
        <v>2.3740274394967127E-2</v>
      </c>
      <c r="AF43" s="14">
        <f>AA43*$R$11</f>
        <v>26.438150693300212</v>
      </c>
      <c r="AG43" s="14">
        <f>AC43*$M43*$R$7*$E$11</f>
        <v>1.8780731524071101</v>
      </c>
      <c r="AH43" s="14">
        <f>AF43-AG43+$K43</f>
        <v>100.70507754089311</v>
      </c>
      <c r="AI43" s="44">
        <f>AH43/$D43</f>
        <v>100.70507754089311</v>
      </c>
      <c r="AJ43" s="43">
        <f>89+10</f>
        <v>99</v>
      </c>
      <c r="AK43" s="15">
        <f>$I$3+$I$4*AJ43+$I$5*($G43/$H43)+$I$6*AJ43^2+$I$7*($G43/$H43)^2+$I$8*AJ43*($G43/$H43)+$I$9*AJ43^3+$I$10*($G43/$H43)^3+$I$11*AJ43*($G43/$H43)^2+$I$12*AJ43^2*($G43/$H43)</f>
        <v>5.5747757160485607</v>
      </c>
      <c r="AL43" s="15">
        <f>$G$22/(AK43*1000)</f>
        <v>8.5633661068687979E-3</v>
      </c>
      <c r="AM43" s="15">
        <f>AK43</f>
        <v>5.5747757160485607</v>
      </c>
      <c r="AN43" s="15">
        <f>($I43/AM43)/1000</f>
        <v>1.7994852160848583E-3</v>
      </c>
      <c r="AO43" s="24">
        <f>AL43-AN43+$J43</f>
        <v>2.2930547557450606E-2</v>
      </c>
      <c r="AP43" s="16">
        <f>AO43/$D43</f>
        <v>2.2930547557450606E-2</v>
      </c>
      <c r="AQ43" s="14">
        <f>AL43*$Q$11</f>
        <v>23.440016902656438</v>
      </c>
      <c r="AR43" s="14">
        <f>AN43*$M43*$S$7*$E$11</f>
        <v>1.7051762409328046</v>
      </c>
      <c r="AS43" s="14">
        <f>AQ43-AR43+$K43</f>
        <v>97.879840661723648</v>
      </c>
      <c r="AT43" s="44">
        <f>AS43/$D43</f>
        <v>97.879840661723648</v>
      </c>
      <c r="AU43" s="43">
        <f>88+10</f>
        <v>98</v>
      </c>
      <c r="AV43" s="15">
        <f>$I$3+$I$4*AU43+$I$5*($G43/$H43)+$I$6*AU43^2+$I$7*($G43/$H43)^2+$I$8*AU43*($G43/$H43)+$I$9*AU43^3+$I$10*($G43/$H43)^3+$I$11*AU43*($G43/$H43)^2+$I$12*AU43^2*($G43/$H43)</f>
        <v>5.665598965208031</v>
      </c>
      <c r="AW43" s="15">
        <f>$G$22/(AV43*1000)</f>
        <v>8.4260897591526933E-3</v>
      </c>
      <c r="AX43" s="15">
        <f>AV43</f>
        <v>5.665598965208031</v>
      </c>
      <c r="AY43" s="15">
        <f>($I43/AX43)/1000</f>
        <v>1.7706382936071292E-3</v>
      </c>
      <c r="AZ43" s="24">
        <f>AW43-AY43+$J43</f>
        <v>2.282211813221223E-2</v>
      </c>
      <c r="BA43" s="16">
        <f>AZ43/$D43</f>
        <v>2.282211813221223E-2</v>
      </c>
      <c r="BB43" s="14">
        <f>AW43*$S$11</f>
        <v>23.619429936679055</v>
      </c>
      <c r="BC43" s="14">
        <f>AY43*$M43*$T$7*$E$11</f>
        <v>1.7181023079111093</v>
      </c>
      <c r="BD43" s="14">
        <f>BB43-BC43+$K43</f>
        <v>98.046327628767955</v>
      </c>
      <c r="BE43" s="44">
        <f>BD43/$D43</f>
        <v>98.046327628767955</v>
      </c>
      <c r="BF43" s="43">
        <f>83+10</f>
        <v>93</v>
      </c>
      <c r="BG43" s="15">
        <f>$I$3+$I$4*BF43+$I$5*($G43/$H43)+$I$6*BF43^2+$I$7*($G43/$H43)^2+$I$8*BF43*($G43/$H43)+$I$9*BF43^3+$I$10*($G43/$H43)^3+$I$11*BF43*($G43/$H43)^2+$I$12*BF43^2*($G43/$H43)</f>
        <v>6.1439585132971386</v>
      </c>
      <c r="BH43" s="15">
        <f>$G$22/(BG43*1000)</f>
        <v>7.7700468381884562E-3</v>
      </c>
      <c r="BI43" s="15">
        <f>BG43</f>
        <v>6.1439585132971386</v>
      </c>
      <c r="BJ43" s="15">
        <f>($I43/BI43)/1000</f>
        <v>1.6327790075904606E-3</v>
      </c>
      <c r="BK43" s="24">
        <f>BH43-BJ43+$J43</f>
        <v>2.2303934497264661E-2</v>
      </c>
      <c r="BL43" s="16">
        <f>BK43/$D43</f>
        <v>2.2303934497264661E-2</v>
      </c>
      <c r="BM43" s="14">
        <f>BH43*$T$11</f>
        <v>22.303095608887965</v>
      </c>
      <c r="BN43" s="14">
        <f>BJ43*$M43*$U$7*$E$11</f>
        <v>1.5516175400247785</v>
      </c>
      <c r="BO43" s="14">
        <f>BM43-BN43+$K43</f>
        <v>96.896478068863189</v>
      </c>
      <c r="BP43" s="44">
        <f>BO43/$D43</f>
        <v>96.896478068863189</v>
      </c>
      <c r="BQ43" s="43">
        <f>84+10</f>
        <v>94</v>
      </c>
      <c r="BR43" s="15">
        <f>$I$3+$I$4*BQ43+$I$5*($G43/$H43)+$I$6*BQ43^2+$I$7*($G43/$H43)^2+$I$8*BQ43*($G43/$H43)+$I$9*BQ43^3+$I$10*($G43/$H43)^3+$I$11*BQ43*($G43/$H43)^2+$I$12*BQ43^2*($G43/$H43)</f>
        <v>6.0449026642829633</v>
      </c>
      <c r="BS43" s="15">
        <f>$G$22/(BR43*1000)</f>
        <v>7.8973720622957603E-3</v>
      </c>
      <c r="BT43" s="15">
        <f>BR43</f>
        <v>6.0449026642829633</v>
      </c>
      <c r="BU43" s="15">
        <f>($I43/BT43)/1000</f>
        <v>1.6595348248189224E-3</v>
      </c>
      <c r="BV43" s="24">
        <f>BS43-BU43+$J43</f>
        <v>2.2404503904143502E-2</v>
      </c>
      <c r="BW43" s="16">
        <f>BV43/$D43</f>
        <v>2.2404503904143502E-2</v>
      </c>
      <c r="BX43" s="14">
        <f>BS43*$U$11</f>
        <v>22.200472202588831</v>
      </c>
      <c r="BY43" s="14">
        <f>BU43*$M43*$V$7*$E$11</f>
        <v>1.6315615545116666</v>
      </c>
      <c r="BZ43" s="14">
        <f>BX43-BY43+$K43</f>
        <v>96.713910648077174</v>
      </c>
      <c r="CA43" s="44">
        <f>BZ43/$D43</f>
        <v>96.713910648077174</v>
      </c>
      <c r="CB43" s="43">
        <f>83+10</f>
        <v>93</v>
      </c>
      <c r="CC43" s="15">
        <f>$I$3+$I$4*CB43+$I$5*($G43/$H43)+$I$6*CB43^2+$I$7*($G43/$H43)^2+$I$8*CB43*($G43/$H43)+$I$9*CB43^3+$I$10*($G43/$H43)^3+$I$11*CB43*($G43/$H43)^2+$I$12*CB43^2*($G43/$H43)</f>
        <v>6.1439585132971386</v>
      </c>
      <c r="CD43" s="15">
        <f>$G$22/(CC43*1000)</f>
        <v>7.7700468381884562E-3</v>
      </c>
      <c r="CE43" s="15">
        <f>CC43</f>
        <v>6.1439585132971386</v>
      </c>
      <c r="CF43" s="15">
        <f>($I43/CE43)/1000</f>
        <v>1.6327790075904606E-3</v>
      </c>
      <c r="CG43" s="24">
        <f>CD43-CF43+$J43</f>
        <v>2.2303934497264661E-2</v>
      </c>
      <c r="CH43" s="16">
        <f>CG43/$D43</f>
        <v>2.2303934497264661E-2</v>
      </c>
      <c r="CI43" s="14">
        <f>CD43*$V$11</f>
        <v>22.597639196072905</v>
      </c>
      <c r="CJ43" s="14">
        <f>CF43*$M43*$W$7*$E$11</f>
        <v>1.6220758326789197</v>
      </c>
      <c r="CK43" s="14">
        <f>CI43-CJ43+$K43</f>
        <v>97.120563363393998</v>
      </c>
      <c r="CL43" s="44">
        <f>CK43/$D43</f>
        <v>97.120563363393998</v>
      </c>
      <c r="CM43" s="43">
        <f>89+10</f>
        <v>99</v>
      </c>
      <c r="CN43" s="15">
        <f>$I$3+$I$4*CM43+$I$5*($G43/$H43)+$I$6*CM43^2+$I$7*($G43/$H43)^2+$I$8*CM43*($G43/$H43)+$I$9*CM43^3+$I$10*($G43/$H43)^3+$I$11*CM43*($G43/$H43)^2+$I$12*CM43^2*($G43/$H43)</f>
        <v>5.5747757160485607</v>
      </c>
      <c r="CO43" s="15">
        <f>$G$22/(CN43*1000)</f>
        <v>8.5633661068687979E-3</v>
      </c>
      <c r="CP43" s="15">
        <f>CN43</f>
        <v>5.5747757160485607</v>
      </c>
      <c r="CQ43" s="15">
        <f>($I43/CP43)/1000</f>
        <v>1.7994852160848583E-3</v>
      </c>
      <c r="CR43" s="24">
        <f>CO43-CQ43+$J43</f>
        <v>2.2930547557450606E-2</v>
      </c>
      <c r="CS43" s="16">
        <f>CR43/$D43</f>
        <v>2.2930547557450606E-2</v>
      </c>
      <c r="CT43" s="14">
        <f>CO43*$W$11</f>
        <v>25.165791724529772</v>
      </c>
      <c r="CU43" s="14">
        <f>CQ43*$M43*$X$7*$E$11</f>
        <v>1.7798526425542067</v>
      </c>
      <c r="CV43" s="14">
        <f>CT43-CU43+$K43</f>
        <v>99.530939081975575</v>
      </c>
      <c r="CW43" s="44">
        <f>CV43/$D43</f>
        <v>99.530939081975575</v>
      </c>
      <c r="CX43" s="43">
        <f>94+10</f>
        <v>104</v>
      </c>
      <c r="CY43" s="15">
        <f>$I$3+$I$4*CX43+$I$5*($G43/$H43)+$I$6*CX43^2+$I$7*($G43/$H43)^2+$I$8*CX43*($G43/$H43)+$I$9*CX43^3+$I$10*($G43/$H43)^3+$I$11*CX43*($G43/$H43)^2+$I$12*CX43^2*($G43/$H43)</f>
        <v>5.142403037544903</v>
      </c>
      <c r="CZ43" s="15">
        <f>$G$22/(CY43*1000)</f>
        <v>9.2833729817873353E-3</v>
      </c>
      <c r="DA43" s="15">
        <f>CY43</f>
        <v>5.142403037544903</v>
      </c>
      <c r="DB43" s="15">
        <f>($I43/DA43)/1000</f>
        <v>1.9507857339800484E-3</v>
      </c>
      <c r="DC43" s="24">
        <f>CZ43-DB43+$J43</f>
        <v>2.3499253914473953E-2</v>
      </c>
      <c r="DD43" s="16">
        <f>DC43/$D43</f>
        <v>2.3499253914473953E-2</v>
      </c>
      <c r="DE43" s="14">
        <f>CZ43*$X$11</f>
        <v>27.162135098506731</v>
      </c>
      <c r="DF43" s="14">
        <f>DB43*$M43*$Y$7*$E$11</f>
        <v>1.9101015805931933</v>
      </c>
      <c r="DG43" s="14">
        <f>DE43-DF43+$K43</f>
        <v>101.39703351791354</v>
      </c>
      <c r="DH43" s="44">
        <f>DG43/$D43</f>
        <v>101.39703351791354</v>
      </c>
      <c r="DI43" s="43">
        <f>100+10</f>
        <v>110</v>
      </c>
      <c r="DJ43" s="15">
        <f>$I$3+$I$4*DI43+$I$5*($G43/$H43)+$I$6*DI43^2+$I$7*($G43/$H43)^2+$I$8*DI43*($G43/$H43)+$I$9*DI43^3+$I$10*($G43/$H43)^3+$I$11*DI43*($G43/$H43)^2+$I$12*DI43^2*($G43/$H43)</f>
        <v>4.6653923073913646</v>
      </c>
      <c r="DK43" s="15">
        <f>$G$22/(DJ43*1000)</f>
        <v>1.0232546863116525E-2</v>
      </c>
      <c r="DL43" s="15">
        <f>DJ43</f>
        <v>4.6653923073913646</v>
      </c>
      <c r="DM43" s="15">
        <f>($I43/DL43)/1000</f>
        <v>2.1502428569886902E-3</v>
      </c>
      <c r="DN43" s="24">
        <f>DK43-DM43+$J43</f>
        <v>2.4248970672794502E-2</v>
      </c>
      <c r="DO43" s="16">
        <f>DN43/$D43</f>
        <v>2.4248970672794502E-2</v>
      </c>
      <c r="DP43" s="14">
        <f>DK43*$Y$11</f>
        <v>29.638278589857745</v>
      </c>
      <c r="DQ43" s="14">
        <f>DM43*$M43*$Z$7*$E$11</f>
        <v>2.0828250350994786</v>
      </c>
      <c r="DR43" s="14">
        <f>DP43-DQ43+$K43</f>
        <v>103.70045355475827</v>
      </c>
      <c r="DS43" s="44">
        <f>DR43/$D43</f>
        <v>103.70045355475827</v>
      </c>
      <c r="DT43" s="43">
        <f>104+10</f>
        <v>114</v>
      </c>
      <c r="DU43" s="15">
        <f>$I$3+$I$4*DT43+$I$5*($G43/$H43)+$I$6*DT43^2+$I$7*($G43/$H43)^2+$I$8*DT43*($G43/$H43)+$I$9*DT43^3+$I$10*($G43/$H43)^3+$I$11*DT43*($G43/$H43)^2+$I$12*DT43^2*($G43/$H43)</f>
        <v>4.3681956261112758</v>
      </c>
      <c r="DV43" s="15">
        <f>$G$22/(DU43*1000)</f>
        <v>1.0928733396197347E-2</v>
      </c>
      <c r="DW43" s="15">
        <f>DU43</f>
        <v>4.3681956261112758</v>
      </c>
      <c r="DX43" s="15">
        <f>($I43/DW43)/1000</f>
        <v>2.2965378253786829E-3</v>
      </c>
      <c r="DY43" s="24">
        <f>DV43-DX43+$J43</f>
        <v>2.4798862237485328E-2</v>
      </c>
      <c r="DZ43" s="16">
        <f>DY43/$D43</f>
        <v>2.4798862237485328E-2</v>
      </c>
      <c r="EA43" s="14">
        <f>DV43*$Z$11</f>
        <v>31.315362814779274</v>
      </c>
      <c r="EB43" s="14">
        <f>DX43*$M43*$AA$7*$E$11</f>
        <v>2.1448330202846444</v>
      </c>
      <c r="EC43" s="14">
        <f>EA43-EB43+$K43</f>
        <v>105.31552979449464</v>
      </c>
      <c r="ED43" s="44">
        <f>EC43/$D43</f>
        <v>105.31552979449464</v>
      </c>
      <c r="EE43" s="43">
        <f>100+10</f>
        <v>110</v>
      </c>
      <c r="EF43" s="15">
        <f>$I$3+$I$4*EE43+$I$5*($G43/$H43)+$I$6*EE43^2+$I$7*($G43/$H43)^2+$I$8*EE43*($G43/$H43)+$I$9*EE43^3+$I$10*($G43/$H43)^3+$I$11*EE43*($G43/$H43)^2+$I$12*EE43^2*($G43/$H43)</f>
        <v>4.6653923073913646</v>
      </c>
      <c r="EG43" s="15">
        <f>$G$22/(EF43*1000)</f>
        <v>1.0232546863116525E-2</v>
      </c>
      <c r="EH43" s="15">
        <f>EF43</f>
        <v>4.6653923073913646</v>
      </c>
      <c r="EI43" s="15">
        <f>($I43/EH43)/1000</f>
        <v>2.1502428569886902E-3</v>
      </c>
      <c r="EJ43" s="24">
        <f>EG43-EI43+$J43</f>
        <v>2.4248970672794502E-2</v>
      </c>
      <c r="EK43" s="16">
        <f>EJ43/$D43</f>
        <v>2.4248970672794502E-2</v>
      </c>
      <c r="EL43" s="14">
        <f>EG43*$AA$11</f>
        <v>28.270010326708263</v>
      </c>
      <c r="EM43" s="14">
        <f>EI43*$M43*$AB$7*$E$11</f>
        <v>2.0397576107764044</v>
      </c>
      <c r="EN43" s="14">
        <f>EL43-EM43+$K43</f>
        <v>102.37525271593186</v>
      </c>
      <c r="EO43" s="44">
        <f>EN43/$D43</f>
        <v>102.37525271593186</v>
      </c>
      <c r="EP43" s="43">
        <f>101+10</f>
        <v>111</v>
      </c>
      <c r="EQ43" s="15">
        <f>$I$3+$I$4*EP43+$I$5*($G43/$H43)+$I$6*EP43^2+$I$7*($G43/$H43)^2+$I$8*EP43*($G43/$H43)+$I$9*EP43^3+$I$10*($G43/$H43)^3+$I$11*EP43*($G43/$H43)^2+$I$12*EP43^2*($G43/$H43)</f>
        <v>4.5896914257050003</v>
      </c>
      <c r="ER43" s="15">
        <f>$G$22/(EQ43*1000)</f>
        <v>1.0401319172099363E-2</v>
      </c>
      <c r="ES43" s="15">
        <f>EQ43</f>
        <v>4.5896914257050003</v>
      </c>
      <c r="ET43" s="15">
        <f>($I43/ES43)/1000</f>
        <v>2.185708265229909E-3</v>
      </c>
      <c r="EU43" s="24">
        <f>ER43-ET43+$J43</f>
        <v>2.4382277573536122E-2</v>
      </c>
      <c r="EV43" s="16">
        <f>EU43/$D43</f>
        <v>2.4382277573536122E-2</v>
      </c>
      <c r="EW43" s="14">
        <f>ER43*$AB$11</f>
        <v>29.187830293044442</v>
      </c>
      <c r="EX43" s="14">
        <f>ET43*$M43*$AC$7*$E$11</f>
        <v>2.1211217640882332</v>
      </c>
      <c r="EY43" s="14">
        <f>EW43-EX43+$K43</f>
        <v>103.21170852895622</v>
      </c>
      <c r="EZ43" s="44">
        <f>EY43/$D43</f>
        <v>103.21170852895622</v>
      </c>
      <c r="FA43" s="43">
        <f>108+10</f>
        <v>118</v>
      </c>
      <c r="FB43" s="15">
        <f>$I$3+$I$4*FA43+$I$5*($G43/$H43)+$I$6*FA43^2+$I$7*($G43/$H43)^2+$I$8*FA43*($G43/$H43)+$I$9*FA43^3+$I$10*($G43/$H43)^3+$I$11*FA43*($G43/$H43)^2+$I$12*FA43^2*($G43/$H43)</f>
        <v>4.0842537429219616</v>
      </c>
      <c r="FC43" s="15">
        <f>$G$22/(FB43*1000)</f>
        <v>1.1688511151624018E-2</v>
      </c>
      <c r="FD43" s="15">
        <f>FB43</f>
        <v>4.0842537429219616</v>
      </c>
      <c r="FE43" s="15">
        <f>($I43/FD43)/1000</f>
        <v>2.456195700720924E-3</v>
      </c>
      <c r="FF43" s="24">
        <f>FC43-FE43+$J43</f>
        <v>2.539898211756976E-2</v>
      </c>
      <c r="FG43" s="16">
        <f>FF43/$D43</f>
        <v>2.539898211756976E-2</v>
      </c>
      <c r="FH43" s="14">
        <f>FC43*$AC$11</f>
        <v>33.554822185005264</v>
      </c>
      <c r="FI43" s="14">
        <f>FE43*$M43*$AD$7*$E$11</f>
        <v>2.3575376552351881</v>
      </c>
      <c r="FJ43" s="14">
        <f>FH43-FI43+$K43</f>
        <v>107.34228452977008</v>
      </c>
      <c r="FK43" s="44">
        <f>FJ43/$D43</f>
        <v>107.34228452977008</v>
      </c>
      <c r="FL43" s="43">
        <f>111+10</f>
        <v>121</v>
      </c>
      <c r="FM43" s="15">
        <f>$I$3+$I$4*FL43+$I$5*($G43/$H43)+$I$6*FL43^2+$I$7*($G43/$H43)^2+$I$8*FL43*($G43/$H43)+$I$9*FL43^3+$I$10*($G43/$H43)^3+$I$11*FL43*($G43/$H43)^2+$I$12*FL43^2*($G43/$H43)</f>
        <v>3.8782459772784375</v>
      </c>
      <c r="FN43" s="15">
        <f>$G$22/(FM43*1000)</f>
        <v>1.2309390817367974E-2</v>
      </c>
      <c r="FO43" s="15">
        <f>FM43</f>
        <v>3.8782459772784375</v>
      </c>
      <c r="FP43" s="15">
        <f>($I43/FO43)/1000</f>
        <v>2.586665864618014E-3</v>
      </c>
      <c r="FQ43" s="24">
        <f>FN43-FP43+$J43</f>
        <v>2.5889391619416627E-2</v>
      </c>
      <c r="FR43" s="16">
        <f>FQ43/$D43</f>
        <v>2.5889391619416627E-2</v>
      </c>
      <c r="FS43" s="14">
        <f>FN43*$AD$11</f>
        <v>34.950594909416267</v>
      </c>
      <c r="FT43" s="14">
        <f>FP43*$M43*$AE$7*$E$11</f>
        <v>2.7396967414289914</v>
      </c>
      <c r="FU43" s="14">
        <f>FS43-FT43+$K43</f>
        <v>108.35589816798728</v>
      </c>
      <c r="FV43" s="44">
        <f>FU43/$D43</f>
        <v>108.35589816798728</v>
      </c>
      <c r="FW43" s="43">
        <f>89+10</f>
        <v>99</v>
      </c>
      <c r="FX43" s="15">
        <f>$I$3+$I$4*FW43+$I$5*($G43/$H43)+$I$6*FW43^2+$I$7*($G43/$H43)^2+$I$8*FW43*($G43/$H43)+$I$9*FW43^3+$I$10*($G43/$H43)^3+$I$11*FW43*($G43/$H43)^2+$I$12*FW43^2*($G43/$H43)</f>
        <v>5.5747757160485607</v>
      </c>
      <c r="FY43" s="15">
        <f>$G$22/(FX43*1000)</f>
        <v>8.5633661068687979E-3</v>
      </c>
      <c r="FZ43" s="15">
        <f>FX43</f>
        <v>5.5747757160485607</v>
      </c>
      <c r="GA43" s="15">
        <f>($I43/FZ43)/1000</f>
        <v>1.7994852160848583E-3</v>
      </c>
      <c r="GB43" s="24">
        <f>FY43-GA43+$J43</f>
        <v>2.2930547557450606E-2</v>
      </c>
      <c r="GC43" s="16">
        <f>GB43/$D43</f>
        <v>2.2930547557450606E-2</v>
      </c>
      <c r="GD43" s="14">
        <f>FY43*$AE$11</f>
        <v>26.830515293882012</v>
      </c>
      <c r="GE43" s="14">
        <f>GA43*$M43*$AF$7*$E$11</f>
        <v>1.5929171841691729</v>
      </c>
      <c r="GF43" s="14">
        <f>GD43-GE43+$K43</f>
        <v>101.38259810971284</v>
      </c>
      <c r="GG43" s="44">
        <f>GF43/$D43</f>
        <v>101.38259810971284</v>
      </c>
    </row>
    <row r="44" spans="2:202" ht="14.4" hidden="1" x14ac:dyDescent="0.3">
      <c r="B44" s="30" t="s">
        <v>114</v>
      </c>
      <c r="C44" s="7"/>
      <c r="D44" s="7"/>
      <c r="E44" s="7"/>
      <c r="F44" s="3"/>
      <c r="G44" s="3"/>
      <c r="H44" s="8"/>
      <c r="I44" s="12"/>
      <c r="J44" s="111"/>
      <c r="K44" s="108"/>
      <c r="L44" s="98"/>
      <c r="M44" s="97"/>
      <c r="N44" s="45"/>
      <c r="O44" s="22"/>
      <c r="P44" s="15"/>
      <c r="Q44" s="22"/>
      <c r="R44" s="15"/>
      <c r="S44" s="24"/>
      <c r="T44" s="16"/>
      <c r="U44" s="14"/>
      <c r="V44" s="14"/>
      <c r="W44" s="14"/>
      <c r="X44" s="44"/>
      <c r="Y44" s="45"/>
      <c r="Z44" s="22"/>
      <c r="AA44" s="15"/>
      <c r="AB44" s="22"/>
      <c r="AC44" s="15"/>
      <c r="AD44" s="24"/>
      <c r="AE44" s="16"/>
      <c r="AF44" s="14"/>
      <c r="AG44" s="14"/>
      <c r="AH44" s="14"/>
      <c r="AI44" s="44"/>
      <c r="AJ44" s="45"/>
      <c r="AK44" s="22"/>
      <c r="AL44" s="15"/>
      <c r="AM44" s="22"/>
      <c r="AN44" s="15"/>
      <c r="AO44" s="24"/>
      <c r="AP44" s="16"/>
      <c r="AQ44" s="14"/>
      <c r="AR44" s="14"/>
      <c r="AS44" s="14"/>
      <c r="AT44" s="44"/>
      <c r="AU44" s="45"/>
      <c r="AV44" s="22"/>
      <c r="AW44" s="15"/>
      <c r="AX44" s="22"/>
      <c r="AY44" s="15"/>
      <c r="AZ44" s="24"/>
      <c r="BA44" s="16"/>
      <c r="BB44" s="14"/>
      <c r="BC44" s="14"/>
      <c r="BD44" s="14"/>
      <c r="BE44" s="44"/>
      <c r="BF44" s="45"/>
      <c r="BG44" s="22"/>
      <c r="BH44" s="15"/>
      <c r="BI44" s="22"/>
      <c r="BJ44" s="15"/>
      <c r="BK44" s="24"/>
      <c r="BL44" s="16"/>
      <c r="BM44" s="14"/>
      <c r="BN44" s="14"/>
      <c r="BO44" s="14"/>
      <c r="BP44" s="44"/>
      <c r="BQ44" s="45"/>
      <c r="BR44" s="22"/>
      <c r="BS44" s="15"/>
      <c r="BT44" s="22"/>
      <c r="BU44" s="15"/>
      <c r="BV44" s="24"/>
      <c r="BW44" s="16"/>
      <c r="BX44" s="14"/>
      <c r="BY44" s="14"/>
      <c r="BZ44" s="14"/>
      <c r="CA44" s="44"/>
      <c r="CB44" s="45"/>
      <c r="CC44" s="22"/>
      <c r="CD44" s="15"/>
      <c r="CE44" s="22"/>
      <c r="CF44" s="15"/>
      <c r="CG44" s="24"/>
      <c r="CH44" s="16"/>
      <c r="CI44" s="14"/>
      <c r="CJ44" s="14"/>
      <c r="CK44" s="14"/>
      <c r="CL44" s="44"/>
      <c r="CM44" s="45"/>
      <c r="CN44" s="22"/>
      <c r="CO44" s="15"/>
      <c r="CP44" s="22"/>
      <c r="CQ44" s="15"/>
      <c r="CR44" s="24"/>
      <c r="CS44" s="16"/>
      <c r="CT44" s="14"/>
      <c r="CU44" s="14"/>
      <c r="CV44" s="14"/>
      <c r="CW44" s="44"/>
      <c r="CX44" s="45"/>
      <c r="CY44" s="22"/>
      <c r="CZ44" s="15"/>
      <c r="DA44" s="22"/>
      <c r="DB44" s="15"/>
      <c r="DC44" s="24"/>
      <c r="DD44" s="16"/>
      <c r="DE44" s="14"/>
      <c r="DF44" s="14"/>
      <c r="DG44" s="14"/>
      <c r="DH44" s="44"/>
      <c r="DI44" s="45"/>
      <c r="DJ44" s="22"/>
      <c r="DK44" s="15"/>
      <c r="DL44" s="22"/>
      <c r="DM44" s="15"/>
      <c r="DN44" s="24"/>
      <c r="DO44" s="16"/>
      <c r="DP44" s="14"/>
      <c r="DQ44" s="14"/>
      <c r="DR44" s="14"/>
      <c r="DS44" s="44"/>
      <c r="DT44" s="45"/>
      <c r="DU44" s="22"/>
      <c r="DV44" s="15"/>
      <c r="DW44" s="22"/>
      <c r="DX44" s="15"/>
      <c r="DY44" s="24"/>
      <c r="DZ44" s="16"/>
      <c r="EA44" s="14"/>
      <c r="EB44" s="14"/>
      <c r="EC44" s="14"/>
      <c r="ED44" s="44"/>
      <c r="EE44" s="45"/>
      <c r="EF44" s="22"/>
      <c r="EG44" s="15"/>
      <c r="EH44" s="22"/>
      <c r="EI44" s="15"/>
      <c r="EJ44" s="24"/>
      <c r="EK44" s="16"/>
      <c r="EL44" s="14"/>
      <c r="EM44" s="14"/>
      <c r="EN44" s="14"/>
      <c r="EO44" s="44"/>
      <c r="EP44" s="45"/>
      <c r="EQ44" s="22"/>
      <c r="ER44" s="15"/>
      <c r="ES44" s="22"/>
      <c r="ET44" s="15"/>
      <c r="EU44" s="24"/>
      <c r="EV44" s="16"/>
      <c r="EW44" s="14"/>
      <c r="EX44" s="14"/>
      <c r="EY44" s="14"/>
      <c r="EZ44" s="44"/>
      <c r="FA44" s="45"/>
      <c r="FB44" s="22"/>
      <c r="FC44" s="15"/>
      <c r="FD44" s="22"/>
      <c r="FE44" s="15"/>
      <c r="FF44" s="24"/>
      <c r="FG44" s="16"/>
      <c r="FH44" s="14"/>
      <c r="FI44" s="14"/>
      <c r="FJ44" s="14"/>
      <c r="FK44" s="44"/>
      <c r="FL44" s="45"/>
      <c r="FM44" s="22"/>
      <c r="FN44" s="15"/>
      <c r="FO44" s="22"/>
      <c r="FP44" s="15"/>
      <c r="FQ44" s="24"/>
      <c r="FR44" s="16"/>
      <c r="FS44" s="14"/>
      <c r="FT44" s="14"/>
      <c r="FU44" s="14"/>
      <c r="FV44" s="44"/>
      <c r="FW44" s="45"/>
      <c r="FX44" s="22"/>
      <c r="FY44" s="15"/>
      <c r="FZ44" s="22"/>
      <c r="GA44" s="15"/>
      <c r="GB44" s="24"/>
      <c r="GC44" s="16"/>
      <c r="GD44" s="14"/>
      <c r="GE44" s="14"/>
      <c r="GF44" s="14"/>
      <c r="GG44" s="44"/>
      <c r="GH44" s="1" t="s">
        <v>0</v>
      </c>
      <c r="GI44" s="61" t="e">
        <f>#REF!</f>
        <v>#REF!</v>
      </c>
      <c r="GJ44" s="62" t="e">
        <f>#REF!</f>
        <v>#REF!</v>
      </c>
      <c r="GK44" s="61" t="e">
        <f>#REF!</f>
        <v>#REF!</v>
      </c>
      <c r="GL44" s="62" t="e">
        <f>#REF!</f>
        <v>#REF!</v>
      </c>
      <c r="GM44" s="61" t="e">
        <f>#REF!</f>
        <v>#REF!</v>
      </c>
      <c r="GN44" s="62" t="e">
        <f>#REF!</f>
        <v>#REF!</v>
      </c>
      <c r="GO44" s="61" t="e">
        <f>#REF!</f>
        <v>#REF!</v>
      </c>
      <c r="GP44" s="62" t="e">
        <f>#REF!</f>
        <v>#REF!</v>
      </c>
      <c r="GQ44" s="61" t="e">
        <f>#REF!</f>
        <v>#REF!</v>
      </c>
      <c r="GR44" s="62" t="e">
        <f>#REF!</f>
        <v>#REF!</v>
      </c>
      <c r="GS44" s="61" t="e">
        <f>#REF!</f>
        <v>#REF!</v>
      </c>
      <c r="GT44" s="62" t="e">
        <f>#REF!</f>
        <v>#REF!</v>
      </c>
    </row>
    <row r="45" spans="2:202" ht="13.8" hidden="1" x14ac:dyDescent="0.25">
      <c r="B45" s="31" t="s">
        <v>134</v>
      </c>
      <c r="C45" s="3" t="s">
        <v>115</v>
      </c>
      <c r="D45" s="3">
        <v>1</v>
      </c>
      <c r="E45" s="3">
        <v>38</v>
      </c>
      <c r="F45" s="3">
        <f>E45-10</f>
        <v>28</v>
      </c>
      <c r="G45" s="11">
        <f>'Cooling Load'!$F$33</f>
        <v>29.675498504452051</v>
      </c>
      <c r="H45" s="14">
        <f>G45*1.15</f>
        <v>34.126823280119858</v>
      </c>
      <c r="I45" s="14">
        <f>'Cooling Load'!$J$33</f>
        <v>70.956270000000004</v>
      </c>
      <c r="J45" s="110">
        <f>'Cooling Load'!$J$21</f>
        <v>-1.6600000000000004E-2</v>
      </c>
      <c r="K45" s="109">
        <f>'Cooling Load'!$J$27</f>
        <v>-151.84200000000004</v>
      </c>
      <c r="L45" s="98">
        <f>I45/H45</f>
        <v>2.0791935252096749</v>
      </c>
      <c r="M45" s="97">
        <f>(1-(1-L45))*(1-$D$8)</f>
        <v>1.9752338489491912</v>
      </c>
      <c r="N45" s="43">
        <f>69+15</f>
        <v>84</v>
      </c>
      <c r="O45" s="15">
        <f>$H$3+$H$4*N45+$H$5*($G45/$H45)+$H$6*N45^2+$H$7*($G45/$H45)^2+$H$8*N45*($G45/$H45)+$H$9*N45^3+$H$10*($G45/$H45)^3+$H$11*N45*($G45/$H45)^2+$H$12*N45^2*($G45/$H45)</f>
        <v>9.517424087669232</v>
      </c>
      <c r="P45" s="15">
        <f>$G$21/(O45*1000)</f>
        <v>5.0159418116143316E-3</v>
      </c>
      <c r="Q45" s="15">
        <f>O45</f>
        <v>9.517424087669232</v>
      </c>
      <c r="R45" s="15">
        <f>($I45/Q45)/1000</f>
        <v>7.4554069826446943E-3</v>
      </c>
      <c r="S45" s="24">
        <f>P45-R45+$J45</f>
        <v>-1.9039465171030365E-2</v>
      </c>
      <c r="T45" s="16">
        <f>S45/$D45</f>
        <v>-1.9039465171030365E-2</v>
      </c>
      <c r="U45" s="14">
        <f>P45*$Q$10</f>
        <v>14.492622982689511</v>
      </c>
      <c r="V45" s="14">
        <f>R45*$M45*$Q$7*$D$11</f>
        <v>51.506093894101468</v>
      </c>
      <c r="W45" s="14">
        <f>U45-V45+$K45</f>
        <v>-188.855470911412</v>
      </c>
      <c r="X45" s="44">
        <f>W45/$D45</f>
        <v>-188.855470911412</v>
      </c>
      <c r="Y45" s="43">
        <f>96+15</f>
        <v>111</v>
      </c>
      <c r="Z45" s="15">
        <f>$H$3+$H$4*Y45+$H$5*($G45/$H45)+$H$6*Y45^2+$H$7*($G45/$H45)^2+$H$8*Y45*($G45/$H45)+$H$9*Y45^3+$H$10*($G45/$H45)^3+$H$11*Y45*($G45/$H45)^2+$H$12*Y45^2*($G45/$H45)</f>
        <v>6.4425744504920166</v>
      </c>
      <c r="AA45" s="15">
        <f>$G$21/(Z45*1000)</f>
        <v>7.4099020177500136E-3</v>
      </c>
      <c r="AB45" s="15">
        <f>Z45</f>
        <v>6.4425744504920166</v>
      </c>
      <c r="AC45" s="15">
        <f>($I45/AB45)/1000</f>
        <v>1.1013651537170998E-2</v>
      </c>
      <c r="AD45" s="24">
        <f>AA45-AC45+$J45</f>
        <v>-2.0203749519420989E-2</v>
      </c>
      <c r="AE45" s="16">
        <f>AD45/$D45</f>
        <v>-2.0203749519420989E-2</v>
      </c>
      <c r="AF45" s="14">
        <f>AA45*$R$10</f>
        <v>21.566182055926511</v>
      </c>
      <c r="AG45" s="14">
        <f>AC45*$M45*$R$7*$D$11</f>
        <v>76.645186950395583</v>
      </c>
      <c r="AH45" s="14">
        <f>AF45-AG45+$K45</f>
        <v>-206.92100489446912</v>
      </c>
      <c r="AI45" s="44">
        <f>AH45/$D45</f>
        <v>-206.92100489446912</v>
      </c>
      <c r="AJ45" s="43">
        <f>89+15</f>
        <v>104</v>
      </c>
      <c r="AK45" s="15">
        <f>$H$3+$H$4*AJ45+$H$5*($G45/$H45)+$H$6*AJ45^2+$H$7*($G45/$H45)^2+$H$8*AJ45*($G45/$H45)+$H$9*AJ45^3+$H$10*($G45/$H45)^3+$H$11*AJ45*($G45/$H45)^2+$H$12*AJ45^2*($G45/$H45)</f>
        <v>7.1731404854674166</v>
      </c>
      <c r="AL45" s="15">
        <f>$G$21/(AK45*1000)</f>
        <v>6.6552224255084719E-3</v>
      </c>
      <c r="AM45" s="15">
        <f>AK45</f>
        <v>7.1731404854674166</v>
      </c>
      <c r="AN45" s="15">
        <f>($I45/AM45)/1000</f>
        <v>9.8919392619948587E-3</v>
      </c>
      <c r="AO45" s="24">
        <f>AL45-AN45+$J45</f>
        <v>-1.9836716836486391E-2</v>
      </c>
      <c r="AP45" s="16">
        <f>AO45/$D45</f>
        <v>-1.9836716836486391E-2</v>
      </c>
      <c r="AQ45" s="14">
        <f>AL45*$Q$10</f>
        <v>19.229016823022654</v>
      </c>
      <c r="AR45" s="14">
        <f>AN45*$M45*$S$7*$D$11</f>
        <v>69.983977500492031</v>
      </c>
      <c r="AS45" s="14">
        <f>AQ45-AR45+$K45</f>
        <v>-202.59696067746941</v>
      </c>
      <c r="AT45" s="44">
        <f>AS45/$D45</f>
        <v>-202.59696067746941</v>
      </c>
      <c r="AU45" s="43">
        <f>88+15</f>
        <v>103</v>
      </c>
      <c r="AV45" s="15">
        <f>$H$3+$H$4*AU45+$H$5*($G45/$H45)+$H$6*AU45^2+$H$7*($G45/$H45)^2+$H$8*AU45*($G45/$H45)+$H$9*AU45^3+$H$10*($G45/$H45)^3+$H$11*AU45*($G45/$H45)^2+$H$12*AU45^2*($G45/$H45)</f>
        <v>7.281090917823354</v>
      </c>
      <c r="AW45" s="15">
        <f>$G$21/(AV45*1000)</f>
        <v>6.5565512035216785E-3</v>
      </c>
      <c r="AX45" s="15">
        <f>AV45</f>
        <v>7.281090917823354</v>
      </c>
      <c r="AY45" s="15">
        <f>($I45/AX45)/1000</f>
        <v>9.7452800412512943E-3</v>
      </c>
      <c r="AZ45" s="24">
        <f>AW45-AY45+$J45</f>
        <v>-1.978872883772962E-2</v>
      </c>
      <c r="BA45" s="16">
        <f>AZ45/$D45</f>
        <v>-1.978872883772962E-2</v>
      </c>
      <c r="BB45" s="14">
        <f>AW45*$S$10</f>
        <v>19.399917517313437</v>
      </c>
      <c r="BC45" s="14">
        <f>AY45*$M45*$T$7*$D$11</f>
        <v>70.60080991398776</v>
      </c>
      <c r="BD45" s="14">
        <f>BB45-BC45+$K45</f>
        <v>-203.04289239667435</v>
      </c>
      <c r="BE45" s="44">
        <f>BD45/$D45</f>
        <v>-203.04289239667435</v>
      </c>
      <c r="BF45" s="43">
        <f>83+15</f>
        <v>98</v>
      </c>
      <c r="BG45" s="15">
        <f>$H$3+$H$4*BF45+$H$5*($G45/$H45)+$H$6*BF45^2+$H$7*($G45/$H45)^2+$H$8*BF45*($G45/$H45)+$H$9*BF45^3+$H$10*($G45/$H45)^3+$H$11*BF45*($G45/$H45)^2+$H$12*BF45^2*($G45/$H45)</f>
        <v>7.8348543036092488</v>
      </c>
      <c r="BH45" s="15">
        <f>$G$21/(BG45*1000)</f>
        <v>6.0931376092359275E-3</v>
      </c>
      <c r="BI45" s="15">
        <f>BG45</f>
        <v>7.8348543036092488</v>
      </c>
      <c r="BJ45" s="15">
        <f>($I45/BI45)/1000</f>
        <v>9.0564887680569736E-3</v>
      </c>
      <c r="BK45" s="24">
        <f>BH45-BJ45+$J45</f>
        <v>-1.956335115882105E-2</v>
      </c>
      <c r="BL45" s="16">
        <f>BK45/$D45</f>
        <v>-1.956335115882105E-2</v>
      </c>
      <c r="BM45" s="14">
        <f>BH45*$T$10</f>
        <v>18.461355769661132</v>
      </c>
      <c r="BN45" s="14">
        <f>BJ45*$M45*$U$7*$D$11</f>
        <v>64.255945142723888</v>
      </c>
      <c r="BO45" s="14">
        <f>BM45-BN45+$K45</f>
        <v>-197.6365893730628</v>
      </c>
      <c r="BP45" s="44">
        <f>BO45/$D45</f>
        <v>-197.6365893730628</v>
      </c>
      <c r="BQ45" s="43">
        <f>84+15</f>
        <v>99</v>
      </c>
      <c r="BR45" s="15">
        <f>$H$3+$H$4*BQ45+$H$5*($G45/$H45)+$H$6*BQ45^2+$H$7*($G45/$H45)^2+$H$8*BQ45*($G45/$H45)+$H$9*BQ45^3+$H$10*($G45/$H45)^3+$H$11*BQ45*($G45/$H45)^2+$H$12*BQ45^2*($G45/$H45)</f>
        <v>7.7222041420068654</v>
      </c>
      <c r="BS45" s="15">
        <f>$G$21/(BR45*1000)</f>
        <v>6.1820232335633371E-3</v>
      </c>
      <c r="BT45" s="15">
        <f>BR45</f>
        <v>7.7222041420068654</v>
      </c>
      <c r="BU45" s="15">
        <f>($I45/BT45)/1000</f>
        <v>9.1886032401054495E-3</v>
      </c>
      <c r="BV45" s="24">
        <f>BS45-BU45+$J45</f>
        <v>-1.9606580006542116E-2</v>
      </c>
      <c r="BW45" s="16">
        <f>BV45/$D45</f>
        <v>-1.9606580006542116E-2</v>
      </c>
      <c r="BX45" s="14">
        <f>BS45*$U$10</f>
        <v>18.343885954352267</v>
      </c>
      <c r="BY45" s="14">
        <f>BU45*$M45*$V$7*$D$11</f>
        <v>67.447022631743152</v>
      </c>
      <c r="BZ45" s="14">
        <f>BX45-BY45+$K45</f>
        <v>-200.94513667739093</v>
      </c>
      <c r="CA45" s="44">
        <f>BZ45/$D45</f>
        <v>-200.94513667739093</v>
      </c>
      <c r="CB45" s="43">
        <f>83+15</f>
        <v>98</v>
      </c>
      <c r="CC45" s="15">
        <f>$H$3+$H$4*CB45+$H$5*($G45/$H45)+$H$6*CB45^2+$H$7*($G45/$H45)^2+$H$8*CB45*($G45/$H45)+$H$9*CB45^3+$H$10*($G45/$H45)^3+$H$11*CB45*($G45/$H45)^2+$H$12*CB45^2*($G45/$H45)</f>
        <v>7.8348543036092488</v>
      </c>
      <c r="CD45" s="15">
        <f>$G$21/(CC45*1000)</f>
        <v>6.0931376092359275E-3</v>
      </c>
      <c r="CE45" s="15">
        <f>CC45</f>
        <v>7.8348543036092488</v>
      </c>
      <c r="CF45" s="15">
        <f>($I45/CE45)/1000</f>
        <v>9.0564887680569736E-3</v>
      </c>
      <c r="CG45" s="24">
        <f>CD45-CF45+$J45</f>
        <v>-1.956335115882105E-2</v>
      </c>
      <c r="CH45" s="16">
        <f>CG45/$D45</f>
        <v>-1.956335115882105E-2</v>
      </c>
      <c r="CI45" s="14">
        <f>CD45*$V$10</f>
        <v>18.705163806359248</v>
      </c>
      <c r="CJ45" s="14">
        <f>CF45*$M45*$W$7*$D$11</f>
        <v>67.173780286274905</v>
      </c>
      <c r="CK45" s="14">
        <f>CI45-CJ45+$K45</f>
        <v>-200.31061647991569</v>
      </c>
      <c r="CL45" s="44">
        <f>CK45/$D45</f>
        <v>-200.31061647991569</v>
      </c>
      <c r="CM45" s="43">
        <f>89+15</f>
        <v>104</v>
      </c>
      <c r="CN45" s="15">
        <f>$H$3+$H$4*CM45+$H$5*($G45/$H45)+$H$6*CM45^2+$H$7*($G45/$H45)^2+$H$8*CM45*($G45/$H45)+$H$9*CM45^3+$H$10*($G45/$H45)^3+$H$11*CM45*($G45/$H45)^2+$H$12*CM45^2*($G45/$H45)</f>
        <v>7.1731404854674166</v>
      </c>
      <c r="CO45" s="15">
        <f>$G$21/(CN45*1000)</f>
        <v>6.6552224255084719E-3</v>
      </c>
      <c r="CP45" s="15">
        <f>CN45</f>
        <v>7.1731404854674166</v>
      </c>
      <c r="CQ45" s="15">
        <f>($I45/CP45)/1000</f>
        <v>9.8919392619948587E-3</v>
      </c>
      <c r="CR45" s="24">
        <f>CO45-CQ45+$J45</f>
        <v>-1.9836716836486391E-2</v>
      </c>
      <c r="CS45" s="16">
        <f>CR45/$D45</f>
        <v>-1.9836716836486391E-2</v>
      </c>
      <c r="CT45" s="14">
        <f>CO45*$W$10</f>
        <v>20.644756121350138</v>
      </c>
      <c r="CU45" s="14">
        <f>CQ45*$M45*$X$7*$D$11</f>
        <v>73.048852253867096</v>
      </c>
      <c r="CV45" s="14">
        <f>CT45-CU45+$K45</f>
        <v>-204.24609613251698</v>
      </c>
      <c r="CW45" s="44">
        <f>CV45/$D45</f>
        <v>-204.24609613251698</v>
      </c>
      <c r="CX45" s="43">
        <f>94+15</f>
        <v>109</v>
      </c>
      <c r="CY45" s="15">
        <f>$H$3+$H$4*CX45+$H$5*($G45/$H45)+$H$6*CX45^2+$H$7*($G45/$H45)^2+$H$8*CX45*($G45/$H45)+$H$9*CX45^3+$H$10*($G45/$H45)^3+$H$11*CX45*($G45/$H45)^2+$H$12*CX45^2*($G45/$H45)</f>
        <v>6.6469157471616587</v>
      </c>
      <c r="CZ45" s="15">
        <f>$G$21/(CY45*1000)</f>
        <v>7.1821047890656261E-3</v>
      </c>
      <c r="DA45" s="15">
        <f>CY45</f>
        <v>6.6469157471616587</v>
      </c>
      <c r="DB45" s="15">
        <f>($I45/DA45)/1000</f>
        <v>1.0675066857933244E-2</v>
      </c>
      <c r="DC45" s="24">
        <f>CZ45-DB45+$J45</f>
        <v>-2.0092962068867622E-2</v>
      </c>
      <c r="DD45" s="16">
        <f>DC45/$D45</f>
        <v>-2.0092962068867622E-2</v>
      </c>
      <c r="DE45" s="14">
        <f>CZ45*$X$10</f>
        <v>22.181501379725624</v>
      </c>
      <c r="DF45" s="14">
        <f>DB45*$M45*$Y$7*$D$11</f>
        <v>78.039357933067933</v>
      </c>
      <c r="DG45" s="14">
        <f>DE45-DF45+$K45</f>
        <v>-207.69985655334236</v>
      </c>
      <c r="DH45" s="44">
        <f>DG45/$D45</f>
        <v>-207.69985655334236</v>
      </c>
      <c r="DI45" s="43">
        <f>100+15</f>
        <v>115</v>
      </c>
      <c r="DJ45" s="15">
        <f>$H$3+$H$4*DI45+$H$5*($G45/$H45)+$H$6*DI45^2+$H$7*($G45/$H45)^2+$H$8*DI45*($G45/$H45)+$H$9*DI45^3+$H$10*($G45/$H45)^3+$H$11*DI45*($G45/$H45)^2+$H$12*DI45^2*($G45/$H45)</f>
        <v>6.044045271560071</v>
      </c>
      <c r="DK45" s="15">
        <f>$G$21/(DJ45*1000)</f>
        <v>7.8984923631922541E-3</v>
      </c>
      <c r="DL45" s="15">
        <f>DJ45</f>
        <v>6.044045271560071</v>
      </c>
      <c r="DM45" s="15">
        <f>($I45/DL45)/1000</f>
        <v>1.1739864083063855E-2</v>
      </c>
      <c r="DN45" s="24">
        <f>DK45-DM45+$J45</f>
        <v>-2.0441371719871607E-2</v>
      </c>
      <c r="DO45" s="16">
        <f>DN45/$D45</f>
        <v>-2.0441371719871607E-2</v>
      </c>
      <c r="DP45" s="14">
        <f>DK45*$Y$10</f>
        <v>24.148743136338016</v>
      </c>
      <c r="DQ45" s="14">
        <f>DM45*$M45*$Z$7*$D$11</f>
        <v>84.903293107486874</v>
      </c>
      <c r="DR45" s="14">
        <f>DP45-DQ45+$K45</f>
        <v>-212.5965499711489</v>
      </c>
      <c r="DS45" s="44">
        <f>DR45/$D45</f>
        <v>-212.5965499711489</v>
      </c>
      <c r="DT45" s="43">
        <f>104+15</f>
        <v>119</v>
      </c>
      <c r="DU45" s="15">
        <f>$H$3+$H$4*DT45+$H$5*($G45/$H45)+$H$6*DT45^2+$H$7*($G45/$H45)^2+$H$8*DT45*($G45/$H45)+$H$9*DT45^3+$H$10*($G45/$H45)^3+$H$11*DT45*($G45/$H45)^2+$H$12*DT45^2*($G45/$H45)</f>
        <v>5.6585848385945274</v>
      </c>
      <c r="DV45" s="15">
        <f>$G$21/(DU45*1000)</f>
        <v>8.4365343600755829E-3</v>
      </c>
      <c r="DW45" s="15">
        <f>DU45</f>
        <v>5.6585848385945274</v>
      </c>
      <c r="DX45" s="15">
        <f>($I45/DW45)/1000</f>
        <v>1.2539578715165828E-2</v>
      </c>
      <c r="DY45" s="24">
        <f>DV45-DX45+$J45</f>
        <v>-2.0703044355090249E-2</v>
      </c>
      <c r="DZ45" s="16">
        <f>DY45/$D45</f>
        <v>-2.0703044355090249E-2</v>
      </c>
      <c r="EA45" s="14">
        <f>DV45*$Z$10</f>
        <v>25.517186725122265</v>
      </c>
      <c r="EB45" s="14">
        <f>DX45*$M45*$AA$7*$D$11</f>
        <v>87.437759570009618</v>
      </c>
      <c r="EC45" s="14">
        <f>EA45-EB45+$K45</f>
        <v>-213.76257284488739</v>
      </c>
      <c r="ED45" s="44">
        <f>EC45/$D45</f>
        <v>-213.76257284488739</v>
      </c>
      <c r="EE45" s="43">
        <f>100+15</f>
        <v>115</v>
      </c>
      <c r="EF45" s="15">
        <f>$H$3+$H$4*EE45+$H$5*($G45/$H45)+$H$6*EE45^2+$H$7*($G45/$H45)^2+$H$8*EE45*($G45/$H45)+$H$9*EE45^3+$H$10*($G45/$H45)^3+$H$11*EE45*($G45/$H45)^2+$H$12*EE45^2*($G45/$H45)</f>
        <v>6.044045271560071</v>
      </c>
      <c r="EG45" s="15">
        <f>$G$21/(EF45*1000)</f>
        <v>7.8984923631922541E-3</v>
      </c>
      <c r="EH45" s="15">
        <f>EF45</f>
        <v>6.044045271560071</v>
      </c>
      <c r="EI45" s="15">
        <f>($I45/EH45)/1000</f>
        <v>1.1739864083063855E-2</v>
      </c>
      <c r="EJ45" s="24">
        <f>EG45-EI45+$J45</f>
        <v>-2.0441371719871607E-2</v>
      </c>
      <c r="EK45" s="16">
        <f>EJ45/$D45</f>
        <v>-2.0441371719871607E-2</v>
      </c>
      <c r="EL45" s="14">
        <f>EG45*$AA$10</f>
        <v>23.033902450559889</v>
      </c>
      <c r="EM45" s="14">
        <f>EI45*$M45*$AB$7*$D$11</f>
        <v>83.14771302319437</v>
      </c>
      <c r="EN45" s="14">
        <f>EL45-EM45+$K45</f>
        <v>-211.9558105726345</v>
      </c>
      <c r="EO45" s="44">
        <f>EN45/$D45</f>
        <v>-211.9558105726345</v>
      </c>
      <c r="EP45" s="43">
        <f>101+15</f>
        <v>116</v>
      </c>
      <c r="EQ45" s="15">
        <f>$H$3+$H$4*EP45+$H$5*($G45/$H45)+$H$6*EP45^2+$H$7*($G45/$H45)^2+$H$8*EP45*($G45/$H45)+$H$9*EP45^3+$H$10*($G45/$H45)^3+$H$11*EP45*($G45/$H45)^2+$H$12*EP45^2*($G45/$H45)</f>
        <v>5.9464769593176205</v>
      </c>
      <c r="ER45" s="15">
        <f>$G$21/(EQ45*1000)</f>
        <v>8.0280888577904594E-3</v>
      </c>
      <c r="ES45" s="15">
        <f>EQ45</f>
        <v>5.9464769593176205</v>
      </c>
      <c r="ET45" s="15">
        <f>($I45/ES45)/1000</f>
        <v>1.1932488847672671E-2</v>
      </c>
      <c r="EU45" s="24">
        <f>ER45-ET45+$J45</f>
        <v>-2.0504399989882217E-2</v>
      </c>
      <c r="EV45" s="16">
        <f>EU45/$D45</f>
        <v>-2.0504399989882217E-2</v>
      </c>
      <c r="EW45" s="14">
        <f>ER45*$AB$10</f>
        <v>23.779715578754843</v>
      </c>
      <c r="EX45" s="14">
        <f>ET45*$M45*$AC$7*$D$11</f>
        <v>86.457093939302936</v>
      </c>
      <c r="EY45" s="14">
        <f>EW45-EX45+$K45</f>
        <v>-214.51937836054813</v>
      </c>
      <c r="EZ45" s="44">
        <f>EY45/$D45</f>
        <v>-214.51937836054813</v>
      </c>
      <c r="FA45" s="43">
        <f>108+15</f>
        <v>123</v>
      </c>
      <c r="FB45" s="15">
        <f>$H$3+$H$4*FA45+$H$5*($G45/$H45)+$H$6*FA45^2+$H$7*($G45/$H45)^2+$H$8*FA45*($G45/$H45)+$H$9*FA45^3+$H$10*($G45/$H45)^3+$H$11*FA45*($G45/$H45)^2+$H$12*FA45^2*($G45/$H45)</f>
        <v>5.2856301837033222</v>
      </c>
      <c r="FC45" s="15">
        <f>$G$21/(FB45*1000)</f>
        <v>9.031817164847078E-3</v>
      </c>
      <c r="FD45" s="15">
        <f>FB45</f>
        <v>5.2856301837033222</v>
      </c>
      <c r="FE45" s="15">
        <f>($I45/FD45)/1000</f>
        <v>1.3424372786952195E-2</v>
      </c>
      <c r="FF45" s="24">
        <f>FC45-FE45+$J45</f>
        <v>-2.099255562210512E-2</v>
      </c>
      <c r="FG45" s="16">
        <f>FF45/$D45</f>
        <v>-2.099255562210512E-2</v>
      </c>
      <c r="FH45" s="14">
        <f>FC45*$AC$10</f>
        <v>27.368562009354285</v>
      </c>
      <c r="FI45" s="14">
        <f>FE45*$M45*$AD$7*$D$11</f>
        <v>96.202390971201666</v>
      </c>
      <c r="FJ45" s="14">
        <f>FH45-FI45+$K45</f>
        <v>-220.67582896184743</v>
      </c>
      <c r="FK45" s="44">
        <f>FJ45/$D45</f>
        <v>-220.67582896184743</v>
      </c>
      <c r="FL45" s="43">
        <f>111+15</f>
        <v>126</v>
      </c>
      <c r="FM45" s="15">
        <f>$H$3+$H$4*FL45+$H$5*($G45/$H45)+$H$6*FL45^2+$H$7*($G45/$H45)^2+$H$8*FL45*($G45/$H45)+$H$9*FL45^3+$H$10*($G45/$H45)^3+$H$11*FL45*($G45/$H45)^2+$H$12*FL45^2*($G45/$H45)</f>
        <v>5.0137824490236378</v>
      </c>
      <c r="FN45" s="15">
        <f>$G$21/(FM45*1000)</f>
        <v>9.5215231026830709E-3</v>
      </c>
      <c r="FO45" s="15">
        <f>FM45</f>
        <v>5.0137824490236378</v>
      </c>
      <c r="FP45" s="15">
        <f>($I45/FO45)/1000</f>
        <v>1.4152243485119249E-2</v>
      </c>
      <c r="FQ45" s="24">
        <f>FN45-FP45+$J45</f>
        <v>-2.1230720382436181E-2</v>
      </c>
      <c r="FR45" s="16">
        <f>FQ45/$D45</f>
        <v>-2.1230720382436181E-2</v>
      </c>
      <c r="FS45" s="14">
        <f>FN45*$AD$10</f>
        <v>28.53681719997007</v>
      </c>
      <c r="FT45" s="14">
        <f>FP45*$M45*$AE$7*$D$11</f>
        <v>111.91380044780915</v>
      </c>
      <c r="FU45" s="14">
        <f>FS45-FT45+$K45</f>
        <v>-235.21898324783911</v>
      </c>
      <c r="FV45" s="44">
        <f>FU45/$D45</f>
        <v>-235.21898324783911</v>
      </c>
      <c r="FW45" s="43">
        <f>89+15</f>
        <v>104</v>
      </c>
      <c r="FX45" s="15">
        <f>$H$3+$H$4*FW45+$H$5*($G45/$H45)+$H$6*FW45^2+$H$7*($G45/$H45)^2+$H$8*FW45*($G45/$H45)+$H$9*FW45^3+$H$10*($G45/$H45)^3+$H$11*FW45*($G45/$H45)^2+$H$12*FW45^2*($G45/$H45)</f>
        <v>7.1731404854674166</v>
      </c>
      <c r="FY45" s="15">
        <f>$G$21/(FX45*1000)</f>
        <v>6.6552224255084719E-3</v>
      </c>
      <c r="FZ45" s="15">
        <f>FX45</f>
        <v>7.1731404854674166</v>
      </c>
      <c r="GA45" s="15">
        <f>($I45/FZ45)/1000</f>
        <v>9.8919392619948587E-3</v>
      </c>
      <c r="GB45" s="24">
        <f>FY45-GA45+$J45</f>
        <v>-1.9836716836486391E-2</v>
      </c>
      <c r="GC45" s="16">
        <f>GB45/$D45</f>
        <v>-1.9836716836486391E-2</v>
      </c>
      <c r="GD45" s="14">
        <f>FY45*$AE$10</f>
        <v>22.010412027388703</v>
      </c>
      <c r="GE45" s="14">
        <f>GA45*$M45*$AF$7*$D$11</f>
        <v>65.37663245651305</v>
      </c>
      <c r="GF45" s="14">
        <f>GD45-GE45+$K45</f>
        <v>-195.2082204291244</v>
      </c>
      <c r="GG45" s="44">
        <f>GF45/$D45</f>
        <v>-195.2082204291244</v>
      </c>
    </row>
    <row r="46" spans="2:202" ht="13.8" hidden="1" x14ac:dyDescent="0.25">
      <c r="B46" s="31" t="s">
        <v>135</v>
      </c>
      <c r="C46" s="3" t="s">
        <v>115</v>
      </c>
      <c r="D46" s="3">
        <v>1</v>
      </c>
      <c r="E46" s="3">
        <v>0</v>
      </c>
      <c r="F46" s="3">
        <f>E46-10</f>
        <v>-10</v>
      </c>
      <c r="G46" s="11">
        <f>'Cooling Load'!$F$33</f>
        <v>29.675498504452051</v>
      </c>
      <c r="H46" s="14">
        <f>G46*1.15</f>
        <v>34.126823280119858</v>
      </c>
      <c r="I46" s="14">
        <f>'Cooling Load'!$J$33</f>
        <v>70.956270000000004</v>
      </c>
      <c r="J46" s="110">
        <f>'Cooling Load'!$J$21</f>
        <v>-1.6600000000000004E-2</v>
      </c>
      <c r="K46" s="109">
        <f>'Cooling Load'!$J$27</f>
        <v>-151.84200000000004</v>
      </c>
      <c r="L46" s="98">
        <f>I46/H46</f>
        <v>2.0791935252096749</v>
      </c>
      <c r="M46" s="97">
        <f>(1-(1-L46))*(1-$E$8)</f>
        <v>1.8712741726887074</v>
      </c>
      <c r="N46" s="43">
        <f>69+10</f>
        <v>79</v>
      </c>
      <c r="O46" s="15">
        <f>$I$3+$I$4*N46+$I$5*($G46/$H46)+$I$6*N46^2+$I$7*($G46/$H46)^2+$I$8*N46*($G46/$H46)+$I$9*N46^3+$I$10*($G46/$H46)^3+$I$11*N46*($G46/$H46)^2+$I$12*N46^2*($G46/$H46)</f>
        <v>7.7386212864169197</v>
      </c>
      <c r="P46" s="15">
        <f>$G$22/(O46*1000)</f>
        <v>6.1689083434019769E-3</v>
      </c>
      <c r="Q46" s="15">
        <f>O46</f>
        <v>7.7386212864169197</v>
      </c>
      <c r="R46" s="15">
        <f>($I46/Q46)/1000</f>
        <v>9.1691100228079078E-3</v>
      </c>
      <c r="S46" s="24">
        <f>P46-R46+$J46</f>
        <v>-1.9600201679405935E-2</v>
      </c>
      <c r="T46" s="16">
        <f>S46/$D46</f>
        <v>-1.9600201679405935E-2</v>
      </c>
      <c r="U46" s="14">
        <f>P46*$Q$11</f>
        <v>16.885803320296617</v>
      </c>
      <c r="V46" s="14">
        <f>R46*$M46*$Q$7*$E$11</f>
        <v>60.011343173099434</v>
      </c>
      <c r="W46" s="14">
        <f>U46-V46+$K46</f>
        <v>-194.96753985280287</v>
      </c>
      <c r="X46" s="44">
        <f>W46/$D46</f>
        <v>-194.96753985280287</v>
      </c>
      <c r="Y46" s="43">
        <f>96+10</f>
        <v>106</v>
      </c>
      <c r="Z46" s="15">
        <f>$I$3+$I$4*Y46+$I$5*($G46/$H46)+$I$6*Y46^2+$I$7*($G46/$H46)^2+$I$8*Y46*($G46/$H46)+$I$9*Y46^3+$I$10*($G46/$H46)^3+$I$11*Y46*($G46/$H46)^2+$I$12*Y46^2*($G46/$H46)</f>
        <v>4.9787525693054091</v>
      </c>
      <c r="AA46" s="15">
        <f>$G$22/(Z46*1000)</f>
        <v>9.5885153471014072E-3</v>
      </c>
      <c r="AB46" s="15">
        <f>Z46</f>
        <v>4.9787525693054091</v>
      </c>
      <c r="AC46" s="15">
        <f>($I46/AB46)/1000</f>
        <v>1.4251816898363998E-2</v>
      </c>
      <c r="AD46" s="24">
        <f>AA46-AC46+$J46</f>
        <v>-2.1263301551262596E-2</v>
      </c>
      <c r="AE46" s="16">
        <f>AD46/$D46</f>
        <v>-2.1263301551262596E-2</v>
      </c>
      <c r="AF46" s="14">
        <f>AA46*$R$11</f>
        <v>26.438150693300212</v>
      </c>
      <c r="AG46" s="14">
        <f>AC46*$M46*$R$7*$E$11</f>
        <v>93.959932140787544</v>
      </c>
      <c r="AH46" s="14">
        <f>AF46-AG46+$K46</f>
        <v>-219.36378144748738</v>
      </c>
      <c r="AI46" s="44">
        <f>AH46/$D46</f>
        <v>-219.36378144748738</v>
      </c>
      <c r="AJ46" s="43">
        <f>89+10</f>
        <v>99</v>
      </c>
      <c r="AK46" s="15">
        <f>$I$3+$I$4*AJ46+$I$5*($G46/$H46)+$I$6*AJ46^2+$I$7*($G46/$H46)^2+$I$8*AJ46*($G46/$H46)+$I$9*AJ46^3+$I$10*($G46/$H46)^3+$I$11*AJ46*($G46/$H46)^2+$I$12*AJ46^2*($G46/$H46)</f>
        <v>5.5747757160485607</v>
      </c>
      <c r="AL46" s="15">
        <f>$G$22/(AK46*1000)</f>
        <v>8.5633661068687979E-3</v>
      </c>
      <c r="AM46" s="15">
        <f>AK46</f>
        <v>5.5747757160485607</v>
      </c>
      <c r="AN46" s="15">
        <f>($I46/AM46)/1000</f>
        <v>1.272809411789113E-2</v>
      </c>
      <c r="AO46" s="24">
        <f>AL46-AN46+$J46</f>
        <v>-2.0764728011022335E-2</v>
      </c>
      <c r="AP46" s="16">
        <f>AO46/$D46</f>
        <v>-2.0764728011022335E-2</v>
      </c>
      <c r="AQ46" s="14">
        <f>AL46*$Q$11</f>
        <v>23.440016902656438</v>
      </c>
      <c r="AR46" s="14">
        <f>AN46*$M46*$S$7*$E$11</f>
        <v>85.309905889863316</v>
      </c>
      <c r="AS46" s="14">
        <f>AQ46-AR46+$K46</f>
        <v>-213.71188898720692</v>
      </c>
      <c r="AT46" s="44">
        <f>AS46/$D46</f>
        <v>-213.71188898720692</v>
      </c>
      <c r="AU46" s="43">
        <f>88+10</f>
        <v>98</v>
      </c>
      <c r="AV46" s="15">
        <f>$I$3+$I$4*AU46+$I$5*($G46/$H46)+$I$6*AU46^2+$I$7*($G46/$H46)^2+$I$8*AU46*($G46/$H46)+$I$9*AU46^3+$I$10*($G46/$H46)^3+$I$11*AU46*($G46/$H46)^2+$I$12*AU46^2*($G46/$H46)</f>
        <v>5.665598965208031</v>
      </c>
      <c r="AW46" s="15">
        <f>$G$22/(AV46*1000)</f>
        <v>8.4260897591526933E-3</v>
      </c>
      <c r="AX46" s="15">
        <f>AV46</f>
        <v>5.665598965208031</v>
      </c>
      <c r="AY46" s="15">
        <f>($I46/AX46)/1000</f>
        <v>1.2524054461979487E-2</v>
      </c>
      <c r="AZ46" s="24">
        <f>AW46-AY46+$J46</f>
        <v>-2.0697964702826796E-2</v>
      </c>
      <c r="BA46" s="16">
        <f>AZ46/$D46</f>
        <v>-2.0697964702826796E-2</v>
      </c>
      <c r="BB46" s="14">
        <f>AW46*$S$11</f>
        <v>23.619429936679055</v>
      </c>
      <c r="BC46" s="14">
        <f>AY46*$M46*$T$7*$E$11</f>
        <v>85.956596555012425</v>
      </c>
      <c r="BD46" s="14">
        <f>BB46-BC46+$K46</f>
        <v>-214.1791666183334</v>
      </c>
      <c r="BE46" s="44">
        <f>BD46/$D46</f>
        <v>-214.1791666183334</v>
      </c>
      <c r="BF46" s="43">
        <f>83+10</f>
        <v>93</v>
      </c>
      <c r="BG46" s="15">
        <f>$I$3+$I$4*BF46+$I$5*($G46/$H46)+$I$6*BF46^2+$I$7*($G46/$H46)^2+$I$8*BF46*($G46/$H46)+$I$9*BF46^3+$I$10*($G46/$H46)^3+$I$11*BF46*($G46/$H46)^2+$I$12*BF46^2*($G46/$H46)</f>
        <v>6.1439585132971386</v>
      </c>
      <c r="BH46" s="15">
        <f>$G$22/(BG46*1000)</f>
        <v>7.7700468381884562E-3</v>
      </c>
      <c r="BI46" s="15">
        <f>BG46</f>
        <v>6.1439585132971386</v>
      </c>
      <c r="BJ46" s="15">
        <f>($I46/BI46)/1000</f>
        <v>1.1548950053362506E-2</v>
      </c>
      <c r="BK46" s="24">
        <f>BH46-BJ46+$J46</f>
        <v>-2.0378903215174052E-2</v>
      </c>
      <c r="BL46" s="16">
        <f>BK46/$D46</f>
        <v>-2.0378903215174052E-2</v>
      </c>
      <c r="BM46" s="14">
        <f>BH46*$T$11</f>
        <v>22.303095608887965</v>
      </c>
      <c r="BN46" s="14">
        <f>BJ46*$M46*$U$7*$E$11</f>
        <v>77.627369616740594</v>
      </c>
      <c r="BO46" s="14">
        <f>BM46-BN46+$K46</f>
        <v>-207.16627400785268</v>
      </c>
      <c r="BP46" s="44">
        <f>BO46/$D46</f>
        <v>-207.16627400785268</v>
      </c>
      <c r="BQ46" s="43">
        <f>84+10</f>
        <v>94</v>
      </c>
      <c r="BR46" s="15">
        <f>$I$3+$I$4*BQ46+$I$5*($G46/$H46)+$I$6*BQ46^2+$I$7*($G46/$H46)^2+$I$8*BQ46*($G46/$H46)+$I$9*BQ46^3+$I$10*($G46/$H46)^3+$I$11*BQ46*($G46/$H46)^2+$I$12*BQ46^2*($G46/$H46)</f>
        <v>6.0449026642829633</v>
      </c>
      <c r="BS46" s="15">
        <f>$G$22/(BR46*1000)</f>
        <v>7.8973720622957603E-3</v>
      </c>
      <c r="BT46" s="15">
        <f>BR46</f>
        <v>6.0449026642829633</v>
      </c>
      <c r="BU46" s="15">
        <f>($I46/BT46)/1000</f>
        <v>1.1738198932342399E-2</v>
      </c>
      <c r="BV46" s="24">
        <f>BS46-BU46+$J46</f>
        <v>-2.0440826870046641E-2</v>
      </c>
      <c r="BW46" s="16">
        <f>BV46/$D46</f>
        <v>-2.0440826870046641E-2</v>
      </c>
      <c r="BX46" s="14">
        <f>BS46*$U$11</f>
        <v>22.200472202588831</v>
      </c>
      <c r="BY46" s="14">
        <f>BU46*$M46*$V$7*$E$11</f>
        <v>81.626965780831782</v>
      </c>
      <c r="BZ46" s="14">
        <f>BX46-BY46+$K46</f>
        <v>-211.26849357824301</v>
      </c>
      <c r="CA46" s="44">
        <f>BZ46/$D46</f>
        <v>-211.26849357824301</v>
      </c>
      <c r="CB46" s="43">
        <f>83+10</f>
        <v>93</v>
      </c>
      <c r="CC46" s="15">
        <f>$I$3+$I$4*CB46+$I$5*($G46/$H46)+$I$6*CB46^2+$I$7*($G46/$H46)^2+$I$8*CB46*($G46/$H46)+$I$9*CB46^3+$I$10*($G46/$H46)^3+$I$11*CB46*($G46/$H46)^2+$I$12*CB46^2*($G46/$H46)</f>
        <v>6.1439585132971386</v>
      </c>
      <c r="CD46" s="15">
        <f>$G$22/(CC46*1000)</f>
        <v>7.7700468381884562E-3</v>
      </c>
      <c r="CE46" s="15">
        <f>CC46</f>
        <v>6.1439585132971386</v>
      </c>
      <c r="CF46" s="15">
        <f>($I46/CE46)/1000</f>
        <v>1.1548950053362506E-2</v>
      </c>
      <c r="CG46" s="24">
        <f>CD46-CF46+$J46</f>
        <v>-2.0378903215174052E-2</v>
      </c>
      <c r="CH46" s="16">
        <f>CG46/$D46</f>
        <v>-2.0378903215174052E-2</v>
      </c>
      <c r="CI46" s="14">
        <f>CD46*$V$11</f>
        <v>22.597639196072905</v>
      </c>
      <c r="CJ46" s="14">
        <f>CF46*$M46*$W$7*$E$11</f>
        <v>81.152395459346209</v>
      </c>
      <c r="CK46" s="14">
        <f>CI46-CJ46+$K46</f>
        <v>-210.39675626327335</v>
      </c>
      <c r="CL46" s="44">
        <f>CK46/$D46</f>
        <v>-210.39675626327335</v>
      </c>
      <c r="CM46" s="43">
        <f>89+10</f>
        <v>99</v>
      </c>
      <c r="CN46" s="15">
        <f>$I$3+$I$4*CM46+$I$5*($G46/$H46)+$I$6*CM46^2+$I$7*($G46/$H46)^2+$I$8*CM46*($G46/$H46)+$I$9*CM46^3+$I$10*($G46/$H46)^3+$I$11*CM46*($G46/$H46)^2+$I$12*CM46^2*($G46/$H46)</f>
        <v>5.5747757160485607</v>
      </c>
      <c r="CO46" s="15">
        <f>$G$22/(CN46*1000)</f>
        <v>8.5633661068687979E-3</v>
      </c>
      <c r="CP46" s="15">
        <f>CN46</f>
        <v>5.5747757160485607</v>
      </c>
      <c r="CQ46" s="15">
        <f>($I46/CP46)/1000</f>
        <v>1.272809411789113E-2</v>
      </c>
      <c r="CR46" s="24">
        <f>CO46-CQ46+$J46</f>
        <v>-2.0764728011022335E-2</v>
      </c>
      <c r="CS46" s="16">
        <f>CR46/$D46</f>
        <v>-2.0764728011022335E-2</v>
      </c>
      <c r="CT46" s="14">
        <f>CO46*$W$11</f>
        <v>25.165791724529772</v>
      </c>
      <c r="CU46" s="14">
        <f>CQ46*$M46*$X$7*$E$11</f>
        <v>89.045963572106444</v>
      </c>
      <c r="CV46" s="14">
        <f>CT46-CU46+$K46</f>
        <v>-215.7221718475767</v>
      </c>
      <c r="CW46" s="44">
        <f>CV46/$D46</f>
        <v>-215.7221718475767</v>
      </c>
      <c r="CX46" s="43">
        <f>94+10</f>
        <v>104</v>
      </c>
      <c r="CY46" s="15">
        <f>$I$3+$I$4*CX46+$I$5*($G46/$H46)+$I$6*CX46^2+$I$7*($G46/$H46)^2+$I$8*CX46*($G46/$H46)+$I$9*CX46^3+$I$10*($G46/$H46)^3+$I$11*CX46*($G46/$H46)^2+$I$12*CX46^2*($G46/$H46)</f>
        <v>5.142403037544903</v>
      </c>
      <c r="CZ46" s="15">
        <f>$G$22/(CY46*1000)</f>
        <v>9.2833729817873353E-3</v>
      </c>
      <c r="DA46" s="15">
        <f>CY46</f>
        <v>5.142403037544903</v>
      </c>
      <c r="DB46" s="15">
        <f>($I46/DA46)/1000</f>
        <v>1.3798270863241419E-2</v>
      </c>
      <c r="DC46" s="24">
        <f>CZ46-DB46+$J46</f>
        <v>-2.1114897881454087E-2</v>
      </c>
      <c r="DD46" s="16">
        <f>DC46/$D46</f>
        <v>-2.1114897881454087E-2</v>
      </c>
      <c r="DE46" s="14">
        <f>CZ46*$X$11</f>
        <v>27.162135098506731</v>
      </c>
      <c r="DF46" s="14">
        <f>DB46*$M46*$Y$7*$E$11</f>
        <v>95.562313248830847</v>
      </c>
      <c r="DG46" s="14">
        <f>DE46-DF46+$K46</f>
        <v>-220.24217815032415</v>
      </c>
      <c r="DH46" s="44">
        <f>DG46/$D46</f>
        <v>-220.24217815032415</v>
      </c>
      <c r="DI46" s="43">
        <f>100+10</f>
        <v>110</v>
      </c>
      <c r="DJ46" s="15">
        <f>$I$3+$I$4*DI46+$I$5*($G46/$H46)+$I$6*DI46^2+$I$7*($G46/$H46)^2+$I$8*DI46*($G46/$H46)+$I$9*DI46^3+$I$10*($G46/$H46)^3+$I$11*DI46*($G46/$H46)^2+$I$12*DI46^2*($G46/$H46)</f>
        <v>4.6653923073913646</v>
      </c>
      <c r="DK46" s="15">
        <f>$G$22/(DJ46*1000)</f>
        <v>1.0232546863116525E-2</v>
      </c>
      <c r="DL46" s="15">
        <f>DJ46</f>
        <v>4.6653923073913646</v>
      </c>
      <c r="DM46" s="15">
        <f>($I46/DL46)/1000</f>
        <v>1.5209068246540433E-2</v>
      </c>
      <c r="DN46" s="24">
        <f>DK46-DM46+$J46</f>
        <v>-2.1576521383423912E-2</v>
      </c>
      <c r="DO46" s="16">
        <f>DN46/$D46</f>
        <v>-2.1576521383423912E-2</v>
      </c>
      <c r="DP46" s="14">
        <f>DK46*$Y$11</f>
        <v>29.638278589857745</v>
      </c>
      <c r="DQ46" s="14">
        <f>DM46*$M46*$Z$7*$E$11</f>
        <v>104.20366145389532</v>
      </c>
      <c r="DR46" s="14">
        <f>DP46-DQ46+$K46</f>
        <v>-226.40738286403763</v>
      </c>
      <c r="DS46" s="44">
        <f>DR46/$D46</f>
        <v>-226.40738286403763</v>
      </c>
      <c r="DT46" s="43">
        <f>104+10</f>
        <v>114</v>
      </c>
      <c r="DU46" s="15">
        <f>$I$3+$I$4*DT46+$I$5*($G46/$H46)+$I$6*DT46^2+$I$7*($G46/$H46)^2+$I$8*DT46*($G46/$H46)+$I$9*DT46^3+$I$10*($G46/$H46)^3+$I$11*DT46*($G46/$H46)^2+$I$12*DT46^2*($G46/$H46)</f>
        <v>4.3681956261112758</v>
      </c>
      <c r="DV46" s="15">
        <f>$G$22/(DU46*1000)</f>
        <v>1.0928733396197347E-2</v>
      </c>
      <c r="DW46" s="15">
        <f>DU46</f>
        <v>4.3681956261112758</v>
      </c>
      <c r="DX46" s="15">
        <f>($I46/DW46)/1000</f>
        <v>1.62438398078723E-2</v>
      </c>
      <c r="DY46" s="24">
        <f>DV46-DX46+$J46</f>
        <v>-2.1915106411674955E-2</v>
      </c>
      <c r="DZ46" s="16">
        <f>DY46/$D46</f>
        <v>-2.1915106411674955E-2</v>
      </c>
      <c r="EA46" s="14">
        <f>DV46*$Z$11</f>
        <v>31.315362814779274</v>
      </c>
      <c r="EB46" s="14">
        <f>DX46*$M46*$AA$7*$E$11</f>
        <v>107.3059187183249</v>
      </c>
      <c r="EC46" s="14">
        <f>EA46-EB46+$K46</f>
        <v>-227.83255590354565</v>
      </c>
      <c r="ED46" s="44">
        <f>EC46/$D46</f>
        <v>-227.83255590354565</v>
      </c>
      <c r="EE46" s="43">
        <f>100+10</f>
        <v>110</v>
      </c>
      <c r="EF46" s="15">
        <f>$I$3+$I$4*EE46+$I$5*($G46/$H46)+$I$6*EE46^2+$I$7*($G46/$H46)^2+$I$8*EE46*($G46/$H46)+$I$9*EE46^3+$I$10*($G46/$H46)^3+$I$11*EE46*($G46/$H46)^2+$I$12*EE46^2*($G46/$H46)</f>
        <v>4.6653923073913646</v>
      </c>
      <c r="EG46" s="15">
        <f>$G$22/(EF46*1000)</f>
        <v>1.0232546863116525E-2</v>
      </c>
      <c r="EH46" s="15">
        <f>EF46</f>
        <v>4.6653923073913646</v>
      </c>
      <c r="EI46" s="15">
        <f>($I46/EH46)/1000</f>
        <v>1.5209068246540433E-2</v>
      </c>
      <c r="EJ46" s="24">
        <f>EG46-EI46+$J46</f>
        <v>-2.1576521383423912E-2</v>
      </c>
      <c r="EK46" s="16">
        <f>EJ46/$D46</f>
        <v>-2.1576521383423912E-2</v>
      </c>
      <c r="EL46" s="14">
        <f>EG46*$AA$11</f>
        <v>28.270010326708263</v>
      </c>
      <c r="EM46" s="14">
        <f>EI46*$M46*$AB$7*$E$11</f>
        <v>102.04899976689549</v>
      </c>
      <c r="EN46" s="14">
        <f>EL46-EM46+$K46</f>
        <v>-225.62098944018726</v>
      </c>
      <c r="EO46" s="44">
        <f>EN46/$D46</f>
        <v>-225.62098944018726</v>
      </c>
      <c r="EP46" s="43">
        <f>101+10</f>
        <v>111</v>
      </c>
      <c r="EQ46" s="15">
        <f>$I$3+$I$4*EP46+$I$5*($G46/$H46)+$I$6*EP46^2+$I$7*($G46/$H46)^2+$I$8*EP46*($G46/$H46)+$I$9*EP46^3+$I$10*($G46/$H46)^3+$I$11*EP46*($G46/$H46)^2+$I$12*EP46^2*($G46/$H46)</f>
        <v>4.5896914257050003</v>
      </c>
      <c r="ER46" s="15">
        <f>$G$22/(EQ46*1000)</f>
        <v>1.0401319172099363E-2</v>
      </c>
      <c r="ES46" s="15">
        <f>EQ46</f>
        <v>4.5896914257050003</v>
      </c>
      <c r="ET46" s="15">
        <f>($I46/ES46)/1000</f>
        <v>1.5459921685062031E-2</v>
      </c>
      <c r="EU46" s="24">
        <f>ER46-ET46+$J46</f>
        <v>-2.1658602512962671E-2</v>
      </c>
      <c r="EV46" s="16">
        <f>EU46/$D46</f>
        <v>-2.1658602512962671E-2</v>
      </c>
      <c r="EW46" s="14">
        <f>ER46*$AB$11</f>
        <v>29.187830293044442</v>
      </c>
      <c r="EX46" s="14">
        <f>ET46*$M46*$AC$7*$E$11</f>
        <v>106.11964542522547</v>
      </c>
      <c r="EY46" s="14">
        <f>EW46-EX46+$K46</f>
        <v>-228.77381513218108</v>
      </c>
      <c r="EZ46" s="44">
        <f>EY46/$D46</f>
        <v>-228.77381513218108</v>
      </c>
      <c r="FA46" s="43">
        <f>108+10</f>
        <v>118</v>
      </c>
      <c r="FB46" s="15">
        <f>$I$3+$I$4*FA46+$I$5*($G46/$H46)+$I$6*FA46^2+$I$7*($G46/$H46)^2+$I$8*FA46*($G46/$H46)+$I$9*FA46^3+$I$10*($G46/$H46)^3+$I$11*FA46*($G46/$H46)^2+$I$12*FA46^2*($G46/$H46)</f>
        <v>4.0842537429219616</v>
      </c>
      <c r="FC46" s="15">
        <f>$G$22/(FB46*1000)</f>
        <v>1.1688511151624018E-2</v>
      </c>
      <c r="FD46" s="15">
        <f>FB46</f>
        <v>4.0842537429219616</v>
      </c>
      <c r="FE46" s="15">
        <f>($I46/FD46)/1000</f>
        <v>1.7373129699144594E-2</v>
      </c>
      <c r="FF46" s="24">
        <f>FC46-FE46+$J46</f>
        <v>-2.228461854752058E-2</v>
      </c>
      <c r="FG46" s="16">
        <f>FF46/$D46</f>
        <v>-2.228461854752058E-2</v>
      </c>
      <c r="FH46" s="14">
        <f>FC46*$AC$11</f>
        <v>33.554822185005264</v>
      </c>
      <c r="FI46" s="14">
        <f>FE46*$M46*$AD$7*$E$11</f>
        <v>117.94752394034116</v>
      </c>
      <c r="FJ46" s="14">
        <f>FH46-FI46+$K46</f>
        <v>-236.23470175533595</v>
      </c>
      <c r="FK46" s="44">
        <f>FJ46/$D46</f>
        <v>-236.23470175533595</v>
      </c>
      <c r="FL46" s="43">
        <f>111+10</f>
        <v>121</v>
      </c>
      <c r="FM46" s="15">
        <f>$I$3+$I$4*FL46+$I$5*($G46/$H46)+$I$6*FL46^2+$I$7*($G46/$H46)^2+$I$8*FL46*($G46/$H46)+$I$9*FL46^3+$I$10*($G46/$H46)^3+$I$11*FL46*($G46/$H46)^2+$I$12*FL46^2*($G46/$H46)</f>
        <v>3.8782459772784375</v>
      </c>
      <c r="FN46" s="15">
        <f>$G$22/(FM46*1000)</f>
        <v>1.2309390817367974E-2</v>
      </c>
      <c r="FO46" s="15">
        <f>FM46</f>
        <v>3.8782459772784375</v>
      </c>
      <c r="FP46" s="15">
        <f>($I46/FO46)/1000</f>
        <v>1.8295969470660967E-2</v>
      </c>
      <c r="FQ46" s="24">
        <f>FN46-FP46+$J46</f>
        <v>-2.2586578653292999E-2</v>
      </c>
      <c r="FR46" s="16">
        <f>FQ46/$D46</f>
        <v>-2.2586578653292999E-2</v>
      </c>
      <c r="FS46" s="14">
        <f>FN46*$AD$11</f>
        <v>34.950594909416267</v>
      </c>
      <c r="FT46" s="14">
        <f>FP46*$M46*$AE$7*$E$11</f>
        <v>137.06692925196742</v>
      </c>
      <c r="FU46" s="14">
        <f>FS46-FT46+$K46</f>
        <v>-253.95833434255121</v>
      </c>
      <c r="FV46" s="44">
        <f>FU46/$D46</f>
        <v>-253.95833434255121</v>
      </c>
      <c r="FW46" s="43">
        <f>89+10</f>
        <v>99</v>
      </c>
      <c r="FX46" s="15">
        <f>$I$3+$I$4*FW46+$I$5*($G46/$H46)+$I$6*FW46^2+$I$7*($G46/$H46)^2+$I$8*FW46*($G46/$H46)+$I$9*FW46^3+$I$10*($G46/$H46)^3+$I$11*FW46*($G46/$H46)^2+$I$12*FW46^2*($G46/$H46)</f>
        <v>5.5747757160485607</v>
      </c>
      <c r="FY46" s="15">
        <f>$G$22/(FX46*1000)</f>
        <v>8.5633661068687979E-3</v>
      </c>
      <c r="FZ46" s="15">
        <f>FX46</f>
        <v>5.5747757160485607</v>
      </c>
      <c r="GA46" s="15">
        <f>($I46/FZ46)/1000</f>
        <v>1.272809411789113E-2</v>
      </c>
      <c r="GB46" s="24">
        <f>FY46-GA46+$J46</f>
        <v>-2.0764728011022335E-2</v>
      </c>
      <c r="GC46" s="16">
        <f>GB46/$D46</f>
        <v>-2.0764728011022335E-2</v>
      </c>
      <c r="GD46" s="14">
        <f>FY46*$AE$11</f>
        <v>26.830515293882012</v>
      </c>
      <c r="GE46" s="14">
        <f>GA46*$M46*$AF$7*$E$11</f>
        <v>79.693589325100888</v>
      </c>
      <c r="GF46" s="14">
        <f>GD46-GE46+$K46</f>
        <v>-204.70507403121891</v>
      </c>
      <c r="GG46" s="44">
        <f>GF46/$D46</f>
        <v>-204.70507403121891</v>
      </c>
    </row>
    <row r="47" spans="2:202" ht="13.8" x14ac:dyDescent="0.25">
      <c r="B47" s="35"/>
      <c r="C47" s="9"/>
      <c r="D47" s="9"/>
      <c r="E47" s="9"/>
      <c r="F47" s="9"/>
      <c r="G47" s="175"/>
      <c r="H47" s="9"/>
      <c r="I47" s="175"/>
      <c r="J47" s="176"/>
      <c r="K47" s="176"/>
      <c r="L47" s="36"/>
      <c r="M47" s="77"/>
      <c r="N47" s="48"/>
      <c r="O47" s="21"/>
      <c r="P47" s="175"/>
      <c r="Q47" s="21"/>
      <c r="R47" s="175"/>
      <c r="S47" s="27"/>
      <c r="T47" s="9"/>
      <c r="U47" s="9"/>
      <c r="V47" s="9"/>
      <c r="W47" s="9"/>
      <c r="X47" s="49"/>
      <c r="Y47" s="48"/>
      <c r="Z47" s="21"/>
      <c r="AA47" s="9"/>
      <c r="AB47" s="21"/>
      <c r="AC47" s="9"/>
      <c r="AD47" s="27"/>
      <c r="AE47" s="9"/>
      <c r="AF47" s="9"/>
      <c r="AG47" s="9"/>
      <c r="AH47" s="9"/>
      <c r="AI47" s="49"/>
      <c r="AJ47" s="48"/>
      <c r="AK47" s="21"/>
      <c r="AL47" s="9"/>
      <c r="AM47" s="21"/>
      <c r="AN47" s="9"/>
      <c r="AO47" s="27"/>
      <c r="AP47" s="9"/>
      <c r="AQ47" s="9"/>
      <c r="AR47" s="9"/>
      <c r="AS47" s="9"/>
      <c r="AT47" s="49"/>
      <c r="AU47" s="48"/>
      <c r="AV47" s="21"/>
      <c r="AW47" s="9"/>
      <c r="AX47" s="21"/>
      <c r="AY47" s="9"/>
      <c r="AZ47" s="27"/>
      <c r="BA47" s="9"/>
      <c r="BB47" s="9"/>
      <c r="BC47" s="9"/>
      <c r="BD47" s="9"/>
      <c r="BE47" s="49"/>
      <c r="BF47" s="48"/>
      <c r="BG47" s="21"/>
      <c r="BH47" s="9"/>
      <c r="BI47" s="21"/>
      <c r="BJ47" s="9"/>
      <c r="BK47" s="27"/>
      <c r="BL47" s="9"/>
      <c r="BM47" s="9"/>
      <c r="BN47" s="9"/>
      <c r="BO47" s="9"/>
      <c r="BP47" s="49"/>
      <c r="BQ47" s="48"/>
      <c r="BR47" s="21"/>
      <c r="BS47" s="9"/>
      <c r="BT47" s="21"/>
      <c r="BU47" s="9"/>
      <c r="BV47" s="27"/>
      <c r="BW47" s="9"/>
      <c r="BX47" s="9"/>
      <c r="BY47" s="9"/>
      <c r="BZ47" s="9"/>
      <c r="CA47" s="49"/>
      <c r="CB47" s="48"/>
      <c r="CC47" s="21"/>
      <c r="CD47" s="9"/>
      <c r="CE47" s="21"/>
      <c r="CF47" s="9"/>
      <c r="CG47" s="27"/>
      <c r="CH47" s="9"/>
      <c r="CI47" s="9"/>
      <c r="CJ47" s="9"/>
      <c r="CK47" s="9"/>
      <c r="CL47" s="49"/>
      <c r="CM47" s="48"/>
      <c r="CN47" s="21"/>
      <c r="CO47" s="9"/>
      <c r="CP47" s="21"/>
      <c r="CQ47" s="9"/>
      <c r="CR47" s="27"/>
      <c r="CS47" s="9"/>
      <c r="CT47" s="9"/>
      <c r="CU47" s="9"/>
      <c r="CV47" s="9"/>
      <c r="CW47" s="49"/>
      <c r="CX47" s="48"/>
      <c r="CY47" s="21"/>
      <c r="CZ47" s="9"/>
      <c r="DA47" s="21"/>
      <c r="DB47" s="9"/>
      <c r="DC47" s="27"/>
      <c r="DD47" s="9"/>
      <c r="DE47" s="9"/>
      <c r="DF47" s="9"/>
      <c r="DG47" s="9"/>
      <c r="DH47" s="49"/>
      <c r="DI47" s="48"/>
      <c r="DJ47" s="21"/>
      <c r="DK47" s="9"/>
      <c r="DL47" s="21"/>
      <c r="DM47" s="9"/>
      <c r="DN47" s="27"/>
      <c r="DO47" s="9"/>
      <c r="DP47" s="9"/>
      <c r="DQ47" s="9"/>
      <c r="DR47" s="9"/>
      <c r="DS47" s="49"/>
      <c r="DT47" s="48"/>
      <c r="DU47" s="21"/>
      <c r="DV47" s="9"/>
      <c r="DW47" s="21"/>
      <c r="DX47" s="9"/>
      <c r="DY47" s="27"/>
      <c r="DZ47" s="9"/>
      <c r="EA47" s="9"/>
      <c r="EB47" s="9"/>
      <c r="EC47" s="9"/>
      <c r="ED47" s="49"/>
      <c r="EE47" s="48"/>
      <c r="EF47" s="21"/>
      <c r="EG47" s="9"/>
      <c r="EH47" s="21"/>
      <c r="EI47" s="9"/>
      <c r="EJ47" s="27"/>
      <c r="EK47" s="9"/>
      <c r="EL47" s="9"/>
      <c r="EM47" s="9"/>
      <c r="EN47" s="9"/>
      <c r="EO47" s="49"/>
      <c r="EP47" s="48"/>
      <c r="EQ47" s="21"/>
      <c r="ER47" s="9"/>
      <c r="ES47" s="21"/>
      <c r="ET47" s="9"/>
      <c r="EU47" s="27"/>
      <c r="EV47" s="9"/>
      <c r="EW47" s="9"/>
      <c r="EX47" s="9"/>
      <c r="EY47" s="9"/>
      <c r="EZ47" s="49"/>
      <c r="FA47" s="48"/>
      <c r="FB47" s="21"/>
      <c r="FC47" s="9"/>
      <c r="FD47" s="21"/>
      <c r="FE47" s="9"/>
      <c r="FF47" s="27"/>
      <c r="FG47" s="9"/>
      <c r="FH47" s="9"/>
      <c r="FI47" s="9"/>
      <c r="FJ47" s="9"/>
      <c r="FK47" s="49"/>
      <c r="FL47" s="48"/>
      <c r="FM47" s="21"/>
      <c r="FN47" s="9"/>
      <c r="FO47" s="21"/>
      <c r="FP47" s="9"/>
      <c r="FQ47" s="27"/>
      <c r="FR47" s="9"/>
      <c r="FS47" s="9"/>
      <c r="FT47" s="9"/>
      <c r="FU47" s="9"/>
      <c r="FV47" s="49"/>
      <c r="FW47" s="48"/>
      <c r="FX47" s="21"/>
      <c r="FY47" s="9"/>
      <c r="FZ47" s="21"/>
      <c r="GA47" s="9"/>
      <c r="GB47" s="27"/>
      <c r="GC47" s="9"/>
      <c r="GD47" s="9"/>
      <c r="GE47" s="9"/>
      <c r="GF47" s="9"/>
      <c r="GG47" s="49"/>
    </row>
    <row r="48" spans="2:202" x14ac:dyDescent="0.25">
      <c r="M48" s="83"/>
      <c r="N48" s="17"/>
      <c r="U48" s="268" t="s">
        <v>127</v>
      </c>
      <c r="V48" s="268"/>
    </row>
    <row r="49" spans="13:111" x14ac:dyDescent="0.25">
      <c r="M49" s="83"/>
      <c r="N49" s="17"/>
      <c r="DC49" s="114"/>
      <c r="DG49" s="17">
        <f>DE38-DF38</f>
        <v>42.229624879857965</v>
      </c>
    </row>
    <row r="50" spans="13:111" x14ac:dyDescent="0.25">
      <c r="M50" s="83"/>
      <c r="N50" s="17"/>
      <c r="DC50" s="114"/>
      <c r="DG50" s="17">
        <f t="shared" ref="DG50:DG56" si="4">DE41-DF41</f>
        <v>0</v>
      </c>
    </row>
    <row r="51" spans="13:111" x14ac:dyDescent="0.25">
      <c r="M51" s="83"/>
      <c r="DC51" s="114"/>
      <c r="DG51" s="17">
        <f t="shared" si="4"/>
        <v>20.621649008338469</v>
      </c>
    </row>
    <row r="52" spans="13:111" x14ac:dyDescent="0.25">
      <c r="M52" s="83"/>
      <c r="DC52" s="114"/>
      <c r="DG52" s="17">
        <f t="shared" si="4"/>
        <v>25.252033517913539</v>
      </c>
    </row>
    <row r="53" spans="13:111" x14ac:dyDescent="0.25">
      <c r="M53" s="83"/>
      <c r="DC53" s="114"/>
      <c r="DG53" s="17">
        <f t="shared" si="4"/>
        <v>0</v>
      </c>
    </row>
    <row r="54" spans="13:111" x14ac:dyDescent="0.25">
      <c r="M54" s="83"/>
      <c r="DC54" s="114"/>
      <c r="DG54" s="17">
        <f t="shared" si="4"/>
        <v>-55.857856553342309</v>
      </c>
    </row>
    <row r="55" spans="13:111" x14ac:dyDescent="0.25">
      <c r="DC55" s="114"/>
      <c r="DG55" s="17">
        <f t="shared" si="4"/>
        <v>-68.400178150324109</v>
      </c>
    </row>
    <row r="56" spans="13:111" x14ac:dyDescent="0.25">
      <c r="DG56" s="17">
        <f t="shared" si="4"/>
        <v>0</v>
      </c>
    </row>
  </sheetData>
  <sheetProtection selectLockedCells="1" selectUnlockedCells="1"/>
  <mergeCells count="29">
    <mergeCell ref="CX14:DH15"/>
    <mergeCell ref="DI14:DS15"/>
    <mergeCell ref="DT14:ED15"/>
    <mergeCell ref="FW14:GG15"/>
    <mergeCell ref="EE14:EO15"/>
    <mergeCell ref="EP14:EZ15"/>
    <mergeCell ref="FA14:FK15"/>
    <mergeCell ref="FL14:FV15"/>
    <mergeCell ref="AU14:BE15"/>
    <mergeCell ref="BF14:BP15"/>
    <mergeCell ref="BQ14:CA15"/>
    <mergeCell ref="CB14:CL15"/>
    <mergeCell ref="CM14:CW15"/>
    <mergeCell ref="Y14:AI15"/>
    <mergeCell ref="AJ14:AT15"/>
    <mergeCell ref="F14:F16"/>
    <mergeCell ref="H14:H16"/>
    <mergeCell ref="I14:I16"/>
    <mergeCell ref="L14:L16"/>
    <mergeCell ref="G14:G16"/>
    <mergeCell ref="M14:M16"/>
    <mergeCell ref="J14:J16"/>
    <mergeCell ref="K14:K16"/>
    <mergeCell ref="U48:V48"/>
    <mergeCell ref="B14:B17"/>
    <mergeCell ref="C14:C16"/>
    <mergeCell ref="D14:D16"/>
    <mergeCell ref="E14:E16"/>
    <mergeCell ref="N14:X15"/>
  </mergeCells>
  <phoneticPr fontId="13" type="noConversion"/>
  <pageMargins left="0.75" right="0.75" top="1" bottom="1" header="0.5" footer="0.5"/>
  <pageSetup paperSize="3" scale="11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T56"/>
  <sheetViews>
    <sheetView zoomScale="60" zoomScaleNormal="60" workbookViewId="0">
      <selection activeCell="F11" sqref="F11"/>
    </sheetView>
  </sheetViews>
  <sheetFormatPr defaultColWidth="9.109375" defaultRowHeight="13.2" x14ac:dyDescent="0.25"/>
  <cols>
    <col min="1" max="1" width="5" style="1" customWidth="1"/>
    <col min="2" max="2" width="84.44140625" customWidth="1"/>
    <col min="3" max="3" width="31.6640625" customWidth="1"/>
    <col min="4" max="4" width="12.5546875" customWidth="1"/>
    <col min="5" max="6" width="10.88671875" customWidth="1"/>
    <col min="7" max="7" width="15.44140625" customWidth="1"/>
    <col min="8" max="8" width="19.44140625" customWidth="1"/>
    <col min="9" max="12" width="13.33203125" customWidth="1"/>
    <col min="13" max="13" width="14.6640625" customWidth="1"/>
    <col min="14" max="17" width="17.6640625" customWidth="1"/>
    <col min="18" max="18" width="16" customWidth="1"/>
    <col min="19" max="19" width="17.6640625" customWidth="1"/>
    <col min="20" max="20" width="20.6640625" customWidth="1"/>
    <col min="21" max="23" width="17.6640625" customWidth="1"/>
    <col min="24" max="24" width="20.6640625" customWidth="1"/>
    <col min="25" max="30" width="17.6640625" customWidth="1"/>
    <col min="31" max="31" width="20.6640625" customWidth="1"/>
    <col min="32" max="34" width="17.6640625" customWidth="1"/>
    <col min="35" max="35" width="20.6640625" customWidth="1"/>
    <col min="36" max="41" width="17.6640625" customWidth="1"/>
    <col min="42" max="42" width="20.6640625" customWidth="1"/>
    <col min="43" max="45" width="17.6640625" customWidth="1"/>
    <col min="46" max="46" width="20.6640625" customWidth="1"/>
    <col min="47" max="52" width="17.6640625" customWidth="1"/>
    <col min="53" max="53" width="20.6640625" customWidth="1"/>
    <col min="54" max="56" width="17.6640625" customWidth="1"/>
    <col min="57" max="57" width="20.6640625" customWidth="1"/>
    <col min="58" max="63" width="17.6640625" customWidth="1"/>
    <col min="64" max="64" width="20.6640625" customWidth="1"/>
    <col min="65" max="67" width="17.6640625" customWidth="1"/>
    <col min="68" max="68" width="20.6640625" customWidth="1"/>
    <col min="69" max="74" width="17.6640625" customWidth="1"/>
    <col min="75" max="75" width="20.6640625" customWidth="1"/>
    <col min="76" max="78" width="17.6640625" customWidth="1"/>
    <col min="79" max="79" width="20.6640625" customWidth="1"/>
    <col min="80" max="85" width="17.6640625" customWidth="1"/>
    <col min="86" max="86" width="20.6640625" customWidth="1"/>
    <col min="87" max="89" width="17.6640625" customWidth="1"/>
    <col min="90" max="90" width="20.6640625" customWidth="1"/>
    <col min="91" max="96" width="17.6640625" customWidth="1"/>
    <col min="97" max="97" width="20.6640625" customWidth="1"/>
    <col min="98" max="100" width="17.6640625" customWidth="1"/>
    <col min="101" max="101" width="20.6640625" customWidth="1"/>
    <col min="102" max="107" width="17.6640625" customWidth="1"/>
    <col min="108" max="108" width="20.6640625" customWidth="1"/>
    <col min="109" max="111" width="17.6640625" customWidth="1"/>
    <col min="112" max="112" width="20.6640625" customWidth="1"/>
    <col min="113" max="118" width="17.6640625" customWidth="1"/>
    <col min="119" max="119" width="20.6640625" customWidth="1"/>
    <col min="120" max="122" width="17.6640625" customWidth="1"/>
    <col min="123" max="123" width="20.6640625" customWidth="1"/>
    <col min="124" max="129" width="17.6640625" customWidth="1"/>
    <col min="130" max="130" width="20.6640625" customWidth="1"/>
    <col min="131" max="133" width="17.6640625" customWidth="1"/>
    <col min="134" max="134" width="20.6640625" customWidth="1"/>
    <col min="135" max="140" width="17.6640625" customWidth="1"/>
    <col min="141" max="141" width="20.6640625" customWidth="1"/>
    <col min="142" max="144" width="17.6640625" customWidth="1"/>
    <col min="145" max="145" width="20.6640625" customWidth="1"/>
    <col min="146" max="151" width="17.6640625" customWidth="1"/>
    <col min="152" max="152" width="20.6640625" customWidth="1"/>
    <col min="153" max="155" width="17.6640625" customWidth="1"/>
    <col min="156" max="156" width="20.6640625" customWidth="1"/>
    <col min="157" max="162" width="17.6640625" customWidth="1"/>
    <col min="163" max="163" width="20.6640625" customWidth="1"/>
    <col min="164" max="166" width="17.6640625" customWidth="1"/>
    <col min="167" max="167" width="20.6640625" customWidth="1"/>
    <col min="168" max="173" width="17.6640625" customWidth="1"/>
    <col min="174" max="174" width="20.6640625" customWidth="1"/>
    <col min="175" max="177" width="17.6640625" customWidth="1"/>
    <col min="178" max="178" width="20.6640625" customWidth="1"/>
    <col min="179" max="184" width="17.6640625" customWidth="1"/>
    <col min="185" max="185" width="20.6640625" customWidth="1"/>
    <col min="186" max="188" width="17.6640625" customWidth="1"/>
    <col min="189" max="189" width="20.6640625" customWidth="1"/>
    <col min="190" max="190" width="12.6640625" style="1" customWidth="1"/>
    <col min="191" max="16384" width="9.109375" style="1"/>
  </cols>
  <sheetData>
    <row r="1" spans="2:189" x14ac:dyDescent="0.25">
      <c r="H1" t="s">
        <v>64</v>
      </c>
    </row>
    <row r="2" spans="2:189" x14ac:dyDescent="0.25">
      <c r="H2" t="s">
        <v>62</v>
      </c>
      <c r="I2" t="s">
        <v>63</v>
      </c>
    </row>
    <row r="3" spans="2:189" x14ac:dyDescent="0.25">
      <c r="G3" t="s">
        <v>65</v>
      </c>
      <c r="H3">
        <v>3.7534601870046802</v>
      </c>
      <c r="I3">
        <v>9.8665098282901695</v>
      </c>
    </row>
    <row r="4" spans="2:189" x14ac:dyDescent="0.25">
      <c r="G4" t="s">
        <v>66</v>
      </c>
      <c r="H4">
        <v>-4.9642253137389E-2</v>
      </c>
      <c r="I4">
        <v>-0.23035688661762899</v>
      </c>
    </row>
    <row r="5" spans="2:189" x14ac:dyDescent="0.25">
      <c r="G5" t="s">
        <v>67</v>
      </c>
      <c r="H5">
        <v>29.4589834935596</v>
      </c>
      <c r="I5">
        <v>22.905553824974</v>
      </c>
    </row>
    <row r="6" spans="2:189" ht="13.8" thickBot="1" x14ac:dyDescent="0.3">
      <c r="D6" s="73" t="s">
        <v>62</v>
      </c>
      <c r="E6" s="73" t="s">
        <v>63</v>
      </c>
      <c r="G6" t="s">
        <v>68</v>
      </c>
      <c r="H6" s="79">
        <v>3.4206698276828198E-4</v>
      </c>
      <c r="I6" s="79">
        <v>2.18892905109218E-3</v>
      </c>
      <c r="J6" s="79"/>
      <c r="K6" s="79"/>
      <c r="O6" s="80"/>
      <c r="P6" s="80"/>
      <c r="Q6" s="80" t="s">
        <v>75</v>
      </c>
      <c r="R6" s="80" t="s">
        <v>76</v>
      </c>
      <c r="S6" s="80" t="s">
        <v>77</v>
      </c>
      <c r="T6" s="80" t="s">
        <v>78</v>
      </c>
      <c r="U6" s="80" t="s">
        <v>79</v>
      </c>
      <c r="V6" s="80" t="s">
        <v>80</v>
      </c>
      <c r="W6" s="80" t="s">
        <v>81</v>
      </c>
      <c r="X6" s="80" t="s">
        <v>82</v>
      </c>
      <c r="Y6" s="80" t="s">
        <v>83</v>
      </c>
      <c r="Z6" s="80" t="s">
        <v>84</v>
      </c>
      <c r="AA6" s="80" t="s">
        <v>85</v>
      </c>
      <c r="AB6" s="80" t="s">
        <v>86</v>
      </c>
      <c r="AC6" s="80" t="s">
        <v>87</v>
      </c>
      <c r="AD6" s="80" t="s">
        <v>88</v>
      </c>
      <c r="AE6" s="80" t="s">
        <v>89</v>
      </c>
      <c r="AF6" s="80" t="s">
        <v>90</v>
      </c>
    </row>
    <row r="7" spans="2:189" x14ac:dyDescent="0.25">
      <c r="C7" s="54" t="s">
        <v>25</v>
      </c>
      <c r="D7" s="55">
        <f>1-(G21/H21)</f>
        <v>0.13043478260869557</v>
      </c>
      <c r="E7" s="55">
        <f>1-(G22/H22)</f>
        <v>0.13043478260869557</v>
      </c>
      <c r="F7" s="18"/>
      <c r="G7" t="s">
        <v>69</v>
      </c>
      <c r="H7">
        <v>-11.7705583766926</v>
      </c>
      <c r="I7">
        <v>-2.4886673793444198</v>
      </c>
      <c r="O7" s="80" t="s">
        <v>91</v>
      </c>
      <c r="P7" s="80"/>
      <c r="Q7" s="81">
        <v>0.74258783884784796</v>
      </c>
      <c r="R7" s="81">
        <v>0.74802158439339106</v>
      </c>
      <c r="S7" s="81">
        <v>0.760462414624829</v>
      </c>
      <c r="T7" s="81">
        <v>0.77871032511307992</v>
      </c>
      <c r="U7" s="81">
        <v>0.76263026576338</v>
      </c>
      <c r="V7" s="81">
        <v>0.78899428463865151</v>
      </c>
      <c r="W7" s="81">
        <v>0.79726098181677252</v>
      </c>
      <c r="X7" s="81">
        <v>0.79376606695664853</v>
      </c>
      <c r="Y7" s="81">
        <v>0.78578486102832212</v>
      </c>
      <c r="Z7" s="81">
        <v>0.77735973189289731</v>
      </c>
      <c r="AA7" s="81">
        <v>0.74950864870550848</v>
      </c>
      <c r="AB7" s="81">
        <v>0.76128594707615982</v>
      </c>
      <c r="AC7" s="81">
        <v>0.778807580373999</v>
      </c>
      <c r="AD7" s="81">
        <v>0.77028676461089585</v>
      </c>
      <c r="AE7" s="81">
        <v>0.85</v>
      </c>
      <c r="AF7" s="81">
        <v>0.71039791611687608</v>
      </c>
    </row>
    <row r="8" spans="2:189" x14ac:dyDescent="0.25">
      <c r="C8" s="56" t="s">
        <v>21</v>
      </c>
      <c r="D8" s="72">
        <v>0.05</v>
      </c>
      <c r="E8" s="72">
        <v>0.1</v>
      </c>
      <c r="G8" t="s">
        <v>70</v>
      </c>
      <c r="H8">
        <v>-0.212941092717051</v>
      </c>
      <c r="I8">
        <v>-0.24805151958875801</v>
      </c>
      <c r="O8" s="80" t="s">
        <v>23</v>
      </c>
      <c r="P8" s="80" t="s">
        <v>62</v>
      </c>
      <c r="Q8" s="81">
        <f t="shared" ref="Q8:AF8" si="0">(1-$D$7)*(1-$D$8)*Q7</f>
        <v>0.61344212774387441</v>
      </c>
      <c r="R8" s="81">
        <f t="shared" si="0"/>
        <v>0.61793087406410563</v>
      </c>
      <c r="S8" s="81">
        <f t="shared" si="0"/>
        <v>0.62820808164659792</v>
      </c>
      <c r="T8" s="81">
        <f t="shared" si="0"/>
        <v>0.64328244248471822</v>
      </c>
      <c r="U8" s="81">
        <f t="shared" si="0"/>
        <v>0.62999891519583562</v>
      </c>
      <c r="V8" s="81">
        <f t="shared" si="0"/>
        <v>0.65177788731019037</v>
      </c>
      <c r="W8" s="81">
        <f t="shared" si="0"/>
        <v>0.65860689802255123</v>
      </c>
      <c r="X8" s="81">
        <f t="shared" si="0"/>
        <v>0.65571979444244877</v>
      </c>
      <c r="Y8" s="81">
        <f t="shared" si="0"/>
        <v>0.64912662432774437</v>
      </c>
      <c r="Z8" s="81">
        <f t="shared" si="0"/>
        <v>0.64216673504195865</v>
      </c>
      <c r="AA8" s="81">
        <f t="shared" si="0"/>
        <v>0.61915931849585482</v>
      </c>
      <c r="AB8" s="81">
        <f t="shared" si="0"/>
        <v>0.62888839106291461</v>
      </c>
      <c r="AC8" s="81">
        <f t="shared" si="0"/>
        <v>0.64336278378721656</v>
      </c>
      <c r="AD8" s="81">
        <f t="shared" si="0"/>
        <v>0.63632384902639227</v>
      </c>
      <c r="AE8" s="81">
        <f t="shared" si="0"/>
        <v>0.7021739130434782</v>
      </c>
      <c r="AF8" s="81">
        <f t="shared" si="0"/>
        <v>0.58685045244437595</v>
      </c>
    </row>
    <row r="9" spans="2:189" x14ac:dyDescent="0.25">
      <c r="C9" s="56" t="s">
        <v>22</v>
      </c>
      <c r="D9" s="57">
        <v>0.85</v>
      </c>
      <c r="E9" s="57">
        <v>0.85</v>
      </c>
      <c r="G9" t="s">
        <v>71</v>
      </c>
      <c r="H9" s="79">
        <v>-1.46606221890819E-6</v>
      </c>
      <c r="I9" s="79">
        <v>-7.5749545395087897E-6</v>
      </c>
      <c r="J9" s="79"/>
      <c r="K9" s="79"/>
      <c r="O9" s="80"/>
      <c r="P9" s="80" t="s">
        <v>63</v>
      </c>
      <c r="Q9" s="81">
        <f t="shared" ref="Q9:AF9" si="1">(1-$E$7)*(1-$E$8)*Q7</f>
        <v>0.58115569996788108</v>
      </c>
      <c r="R9" s="81">
        <f t="shared" si="1"/>
        <v>0.58540819648178444</v>
      </c>
      <c r="S9" s="81">
        <f t="shared" si="1"/>
        <v>0.5951444984020402</v>
      </c>
      <c r="T9" s="81">
        <f t="shared" si="1"/>
        <v>0.60942547182762785</v>
      </c>
      <c r="U9" s="81">
        <f t="shared" si="1"/>
        <v>0.59684107755394966</v>
      </c>
      <c r="V9" s="81">
        <f t="shared" si="1"/>
        <v>0.61747378797807517</v>
      </c>
      <c r="W9" s="81">
        <f t="shared" si="1"/>
        <v>0.62394337707399605</v>
      </c>
      <c r="X9" s="81">
        <f t="shared" si="1"/>
        <v>0.62120822631389894</v>
      </c>
      <c r="Y9" s="81">
        <f t="shared" si="1"/>
        <v>0.61496206515259999</v>
      </c>
      <c r="Z9" s="81">
        <f t="shared" si="1"/>
        <v>0.60836848582922409</v>
      </c>
      <c r="AA9" s="81">
        <f t="shared" si="1"/>
        <v>0.58657198594344151</v>
      </c>
      <c r="AB9" s="81">
        <f t="shared" si="1"/>
        <v>0.5957890020596035</v>
      </c>
      <c r="AC9" s="81">
        <f t="shared" si="1"/>
        <v>0.60950158464052107</v>
      </c>
      <c r="AD9" s="81">
        <f t="shared" si="1"/>
        <v>0.60283312013026646</v>
      </c>
      <c r="AE9" s="81">
        <f t="shared" si="1"/>
        <v>0.66521739130434798</v>
      </c>
      <c r="AF9" s="81">
        <f t="shared" si="1"/>
        <v>0.555963586526251</v>
      </c>
    </row>
    <row r="10" spans="2:189" x14ac:dyDescent="0.25">
      <c r="C10" s="56" t="s">
        <v>23</v>
      </c>
      <c r="D10" s="72">
        <f>(1-D7)*(1-D8)*D9</f>
        <v>0.7021739130434782</v>
      </c>
      <c r="E10" s="72">
        <f>(1-E7)*(1-E8)*E9</f>
        <v>0.66521739130434798</v>
      </c>
      <c r="G10" t="s">
        <v>72</v>
      </c>
      <c r="H10">
        <v>6.8017013390607497</v>
      </c>
      <c r="I10">
        <v>2.0360624862392398</v>
      </c>
      <c r="O10" s="80" t="s">
        <v>30</v>
      </c>
      <c r="P10" s="82" t="s">
        <v>62</v>
      </c>
      <c r="Q10" s="82">
        <f t="shared" ref="Q10:AF10" si="2">Q8*$D$11</f>
        <v>2889.3124216736483</v>
      </c>
      <c r="R10" s="82">
        <f t="shared" si="2"/>
        <v>2910.4544168419375</v>
      </c>
      <c r="S10" s="82">
        <f t="shared" si="2"/>
        <v>2958.8600645554761</v>
      </c>
      <c r="T10" s="82">
        <f t="shared" si="2"/>
        <v>3029.8603041030228</v>
      </c>
      <c r="U10" s="82">
        <f t="shared" si="2"/>
        <v>2967.2948905723856</v>
      </c>
      <c r="V10" s="82">
        <f t="shared" si="2"/>
        <v>3069.8738492309967</v>
      </c>
      <c r="W10" s="82">
        <f t="shared" si="2"/>
        <v>3102.0384896862165</v>
      </c>
      <c r="X10" s="82">
        <f t="shared" si="2"/>
        <v>3088.4402318239336</v>
      </c>
      <c r="Y10" s="82">
        <f t="shared" si="2"/>
        <v>3057.3864005836758</v>
      </c>
      <c r="Z10" s="82">
        <f t="shared" si="2"/>
        <v>3024.6053220476251</v>
      </c>
      <c r="AA10" s="82">
        <f t="shared" si="2"/>
        <v>2916.2403901154762</v>
      </c>
      <c r="AB10" s="82">
        <f t="shared" si="2"/>
        <v>2962.0643219063277</v>
      </c>
      <c r="AC10" s="82">
        <f t="shared" si="2"/>
        <v>3030.2387116377899</v>
      </c>
      <c r="AD10" s="82">
        <f t="shared" si="2"/>
        <v>2997.0853289143074</v>
      </c>
      <c r="AE10" s="82">
        <f t="shared" si="2"/>
        <v>3307.2391304347825</v>
      </c>
      <c r="AF10" s="82">
        <f t="shared" si="2"/>
        <v>2764.0656310130107</v>
      </c>
    </row>
    <row r="11" spans="2:189" x14ac:dyDescent="0.25">
      <c r="C11" s="56" t="s">
        <v>24</v>
      </c>
      <c r="D11" s="58">
        <v>4710</v>
      </c>
      <c r="E11" s="58">
        <v>4710</v>
      </c>
      <c r="G11" t="s">
        <v>73</v>
      </c>
      <c r="H11" s="79">
        <v>-2.0187240339535999E-2</v>
      </c>
      <c r="I11" s="79">
        <v>-2.1477433189667602E-2</v>
      </c>
      <c r="J11" s="79"/>
      <c r="K11" s="79"/>
      <c r="O11" s="80"/>
      <c r="P11" s="82" t="s">
        <v>63</v>
      </c>
      <c r="Q11" s="82">
        <f t="shared" ref="Q11:AF11" si="3">Q9*$E$11</f>
        <v>2737.2433468487197</v>
      </c>
      <c r="R11" s="82">
        <f t="shared" si="3"/>
        <v>2757.2726054292048</v>
      </c>
      <c r="S11" s="82">
        <f t="shared" si="3"/>
        <v>2803.1305874736095</v>
      </c>
      <c r="T11" s="82">
        <f t="shared" si="3"/>
        <v>2870.3939723081271</v>
      </c>
      <c r="U11" s="82">
        <f t="shared" si="3"/>
        <v>2811.1214752791029</v>
      </c>
      <c r="V11" s="82">
        <f t="shared" si="3"/>
        <v>2908.3015413767339</v>
      </c>
      <c r="W11" s="82">
        <f t="shared" si="3"/>
        <v>2938.7733060185215</v>
      </c>
      <c r="X11" s="82">
        <f t="shared" si="3"/>
        <v>2925.8907459384641</v>
      </c>
      <c r="Y11" s="82">
        <f t="shared" si="3"/>
        <v>2896.471326868746</v>
      </c>
      <c r="Z11" s="82">
        <f t="shared" si="3"/>
        <v>2865.4155682556457</v>
      </c>
      <c r="AA11" s="82">
        <f t="shared" si="3"/>
        <v>2762.7540537936097</v>
      </c>
      <c r="AB11" s="82">
        <f t="shared" si="3"/>
        <v>2806.1661997007327</v>
      </c>
      <c r="AC11" s="82">
        <f t="shared" si="3"/>
        <v>2870.7524636568542</v>
      </c>
      <c r="AD11" s="82">
        <f t="shared" si="3"/>
        <v>2839.343995813555</v>
      </c>
      <c r="AE11" s="82">
        <f t="shared" si="3"/>
        <v>3133.1739130434789</v>
      </c>
      <c r="AF11" s="82">
        <f t="shared" si="3"/>
        <v>2618.5884925386422</v>
      </c>
    </row>
    <row r="12" spans="2:189" ht="13.8" thickBot="1" x14ac:dyDescent="0.3">
      <c r="C12" s="59" t="s">
        <v>30</v>
      </c>
      <c r="D12" s="60">
        <f>D11*D10</f>
        <v>3307.2391304347825</v>
      </c>
      <c r="E12" s="60">
        <f>E11*E10</f>
        <v>3133.1739130434789</v>
      </c>
      <c r="G12" t="s">
        <v>74</v>
      </c>
      <c r="H12" s="79">
        <v>6.5794121333582795E-4</v>
      </c>
      <c r="I12" s="79">
        <v>9.3830551802025197E-4</v>
      </c>
      <c r="J12" s="79"/>
      <c r="K12" s="79"/>
    </row>
    <row r="13" spans="2:189" ht="13.8" thickBot="1" x14ac:dyDescent="0.3"/>
    <row r="14" spans="2:189" ht="33" customHeight="1" thickTop="1" x14ac:dyDescent="0.25">
      <c r="B14" s="269" t="s">
        <v>1</v>
      </c>
      <c r="C14" s="272" t="s">
        <v>13</v>
      </c>
      <c r="D14" s="272" t="s">
        <v>14</v>
      </c>
      <c r="E14" s="274" t="s">
        <v>6</v>
      </c>
      <c r="F14" s="274" t="s">
        <v>7</v>
      </c>
      <c r="G14" s="274" t="s">
        <v>26</v>
      </c>
      <c r="H14" s="274" t="s">
        <v>27</v>
      </c>
      <c r="I14" s="274" t="s">
        <v>28</v>
      </c>
      <c r="J14" s="274" t="s">
        <v>124</v>
      </c>
      <c r="K14" s="274" t="s">
        <v>123</v>
      </c>
      <c r="L14" s="282" t="s">
        <v>29</v>
      </c>
      <c r="M14" s="282" t="s">
        <v>92</v>
      </c>
      <c r="N14" s="276" t="s">
        <v>35</v>
      </c>
      <c r="O14" s="277"/>
      <c r="P14" s="277"/>
      <c r="Q14" s="277"/>
      <c r="R14" s="277"/>
      <c r="S14" s="277"/>
      <c r="T14" s="277"/>
      <c r="U14" s="277"/>
      <c r="V14" s="277"/>
      <c r="W14" s="277"/>
      <c r="X14" s="278"/>
      <c r="Y14" s="276" t="s">
        <v>36</v>
      </c>
      <c r="Z14" s="277"/>
      <c r="AA14" s="277"/>
      <c r="AB14" s="277"/>
      <c r="AC14" s="277"/>
      <c r="AD14" s="277"/>
      <c r="AE14" s="277"/>
      <c r="AF14" s="277"/>
      <c r="AG14" s="277"/>
      <c r="AH14" s="277"/>
      <c r="AI14" s="278"/>
      <c r="AJ14" s="276" t="s">
        <v>37</v>
      </c>
      <c r="AK14" s="277"/>
      <c r="AL14" s="277"/>
      <c r="AM14" s="277"/>
      <c r="AN14" s="277"/>
      <c r="AO14" s="277"/>
      <c r="AP14" s="277"/>
      <c r="AQ14" s="277"/>
      <c r="AR14" s="277"/>
      <c r="AS14" s="277"/>
      <c r="AT14" s="278"/>
      <c r="AU14" s="284" t="s">
        <v>38</v>
      </c>
      <c r="AV14" s="285"/>
      <c r="AW14" s="285"/>
      <c r="AX14" s="285"/>
      <c r="AY14" s="285"/>
      <c r="AZ14" s="285"/>
      <c r="BA14" s="285"/>
      <c r="BB14" s="285"/>
      <c r="BC14" s="285"/>
      <c r="BD14" s="285"/>
      <c r="BE14" s="278"/>
      <c r="BF14" s="284" t="s">
        <v>39</v>
      </c>
      <c r="BG14" s="285"/>
      <c r="BH14" s="285"/>
      <c r="BI14" s="285"/>
      <c r="BJ14" s="285"/>
      <c r="BK14" s="285"/>
      <c r="BL14" s="285"/>
      <c r="BM14" s="285"/>
      <c r="BN14" s="285"/>
      <c r="BO14" s="285"/>
      <c r="BP14" s="278"/>
      <c r="BQ14" s="288" t="s">
        <v>227</v>
      </c>
      <c r="BR14" s="289"/>
      <c r="BS14" s="289"/>
      <c r="BT14" s="289"/>
      <c r="BU14" s="289"/>
      <c r="BV14" s="289"/>
      <c r="BW14" s="289"/>
      <c r="BX14" s="289"/>
      <c r="BY14" s="289"/>
      <c r="BZ14" s="289"/>
      <c r="CA14" s="290"/>
      <c r="CB14" s="284" t="s">
        <v>40</v>
      </c>
      <c r="CC14" s="285"/>
      <c r="CD14" s="285"/>
      <c r="CE14" s="285"/>
      <c r="CF14" s="285"/>
      <c r="CG14" s="285"/>
      <c r="CH14" s="285"/>
      <c r="CI14" s="285"/>
      <c r="CJ14" s="285"/>
      <c r="CK14" s="285"/>
      <c r="CL14" s="278"/>
      <c r="CM14" s="284" t="s">
        <v>228</v>
      </c>
      <c r="CN14" s="285"/>
      <c r="CO14" s="285"/>
      <c r="CP14" s="285"/>
      <c r="CQ14" s="285"/>
      <c r="CR14" s="285"/>
      <c r="CS14" s="285"/>
      <c r="CT14" s="285"/>
      <c r="CU14" s="285"/>
      <c r="CV14" s="285"/>
      <c r="CW14" s="278"/>
      <c r="CX14" s="284" t="s">
        <v>229</v>
      </c>
      <c r="CY14" s="285"/>
      <c r="CZ14" s="285"/>
      <c r="DA14" s="285"/>
      <c r="DB14" s="285"/>
      <c r="DC14" s="285"/>
      <c r="DD14" s="285"/>
      <c r="DE14" s="285"/>
      <c r="DF14" s="285"/>
      <c r="DG14" s="285"/>
      <c r="DH14" s="278"/>
      <c r="DI14" s="288" t="s">
        <v>41</v>
      </c>
      <c r="DJ14" s="289"/>
      <c r="DK14" s="289"/>
      <c r="DL14" s="289"/>
      <c r="DM14" s="289"/>
      <c r="DN14" s="289"/>
      <c r="DO14" s="289"/>
      <c r="DP14" s="289"/>
      <c r="DQ14" s="289"/>
      <c r="DR14" s="289"/>
      <c r="DS14" s="290"/>
      <c r="DT14" s="284" t="s">
        <v>42</v>
      </c>
      <c r="DU14" s="285"/>
      <c r="DV14" s="285"/>
      <c r="DW14" s="285"/>
      <c r="DX14" s="285"/>
      <c r="DY14" s="285"/>
      <c r="DZ14" s="285"/>
      <c r="EA14" s="285"/>
      <c r="EB14" s="285"/>
      <c r="EC14" s="285"/>
      <c r="ED14" s="278"/>
      <c r="EE14" s="284" t="s">
        <v>43</v>
      </c>
      <c r="EF14" s="285"/>
      <c r="EG14" s="285"/>
      <c r="EH14" s="285"/>
      <c r="EI14" s="285"/>
      <c r="EJ14" s="285"/>
      <c r="EK14" s="285"/>
      <c r="EL14" s="285"/>
      <c r="EM14" s="285"/>
      <c r="EN14" s="285"/>
      <c r="EO14" s="278"/>
      <c r="EP14" s="288" t="s">
        <v>44</v>
      </c>
      <c r="EQ14" s="289"/>
      <c r="ER14" s="289"/>
      <c r="ES14" s="289"/>
      <c r="ET14" s="289"/>
      <c r="EU14" s="289"/>
      <c r="EV14" s="289"/>
      <c r="EW14" s="289"/>
      <c r="EX14" s="289"/>
      <c r="EY14" s="289"/>
      <c r="EZ14" s="290"/>
      <c r="FA14" s="288" t="s">
        <v>230</v>
      </c>
      <c r="FB14" s="289"/>
      <c r="FC14" s="289"/>
      <c r="FD14" s="289"/>
      <c r="FE14" s="289"/>
      <c r="FF14" s="289"/>
      <c r="FG14" s="289"/>
      <c r="FH14" s="289"/>
      <c r="FI14" s="289"/>
      <c r="FJ14" s="289"/>
      <c r="FK14" s="290"/>
      <c r="FL14" s="288" t="s">
        <v>231</v>
      </c>
      <c r="FM14" s="289"/>
      <c r="FN14" s="289"/>
      <c r="FO14" s="289"/>
      <c r="FP14" s="289"/>
      <c r="FQ14" s="289"/>
      <c r="FR14" s="289"/>
      <c r="FS14" s="289"/>
      <c r="FT14" s="289"/>
      <c r="FU14" s="289"/>
      <c r="FV14" s="290"/>
      <c r="FW14" s="288" t="s">
        <v>232</v>
      </c>
      <c r="FX14" s="289"/>
      <c r="FY14" s="289"/>
      <c r="FZ14" s="289"/>
      <c r="GA14" s="289"/>
      <c r="GB14" s="289"/>
      <c r="GC14" s="289"/>
      <c r="GD14" s="289"/>
      <c r="GE14" s="289"/>
      <c r="GF14" s="289"/>
      <c r="GG14" s="290"/>
    </row>
    <row r="15" spans="2:189" ht="45" customHeight="1" x14ac:dyDescent="0.25">
      <c r="B15" s="270"/>
      <c r="C15" s="273"/>
      <c r="D15" s="273"/>
      <c r="E15" s="275"/>
      <c r="F15" s="275"/>
      <c r="G15" s="275"/>
      <c r="H15" s="275"/>
      <c r="I15" s="275"/>
      <c r="J15" s="275"/>
      <c r="K15" s="275"/>
      <c r="L15" s="283"/>
      <c r="M15" s="283"/>
      <c r="N15" s="279"/>
      <c r="O15" s="280"/>
      <c r="P15" s="280"/>
      <c r="Q15" s="280"/>
      <c r="R15" s="280"/>
      <c r="S15" s="280"/>
      <c r="T15" s="280"/>
      <c r="U15" s="280"/>
      <c r="V15" s="280"/>
      <c r="W15" s="280"/>
      <c r="X15" s="281"/>
      <c r="Y15" s="279"/>
      <c r="Z15" s="280"/>
      <c r="AA15" s="280"/>
      <c r="AB15" s="280"/>
      <c r="AC15" s="280"/>
      <c r="AD15" s="280"/>
      <c r="AE15" s="280"/>
      <c r="AF15" s="280"/>
      <c r="AG15" s="280"/>
      <c r="AH15" s="280"/>
      <c r="AI15" s="281"/>
      <c r="AJ15" s="279"/>
      <c r="AK15" s="280"/>
      <c r="AL15" s="280"/>
      <c r="AM15" s="280"/>
      <c r="AN15" s="280"/>
      <c r="AO15" s="280"/>
      <c r="AP15" s="280"/>
      <c r="AQ15" s="280"/>
      <c r="AR15" s="280"/>
      <c r="AS15" s="280"/>
      <c r="AT15" s="281"/>
      <c r="AU15" s="286"/>
      <c r="AV15" s="287"/>
      <c r="AW15" s="287"/>
      <c r="AX15" s="287"/>
      <c r="AY15" s="287"/>
      <c r="AZ15" s="287"/>
      <c r="BA15" s="287"/>
      <c r="BB15" s="287"/>
      <c r="BC15" s="287"/>
      <c r="BD15" s="287"/>
      <c r="BE15" s="281"/>
      <c r="BF15" s="286"/>
      <c r="BG15" s="287"/>
      <c r="BH15" s="287"/>
      <c r="BI15" s="287"/>
      <c r="BJ15" s="287"/>
      <c r="BK15" s="287"/>
      <c r="BL15" s="287"/>
      <c r="BM15" s="287"/>
      <c r="BN15" s="287"/>
      <c r="BO15" s="287"/>
      <c r="BP15" s="281"/>
      <c r="BQ15" s="291"/>
      <c r="BR15" s="292"/>
      <c r="BS15" s="292"/>
      <c r="BT15" s="292"/>
      <c r="BU15" s="292"/>
      <c r="BV15" s="292"/>
      <c r="BW15" s="292"/>
      <c r="BX15" s="292"/>
      <c r="BY15" s="292"/>
      <c r="BZ15" s="292"/>
      <c r="CA15" s="293"/>
      <c r="CB15" s="286"/>
      <c r="CC15" s="287"/>
      <c r="CD15" s="287"/>
      <c r="CE15" s="287"/>
      <c r="CF15" s="287"/>
      <c r="CG15" s="287"/>
      <c r="CH15" s="287"/>
      <c r="CI15" s="287"/>
      <c r="CJ15" s="287"/>
      <c r="CK15" s="287"/>
      <c r="CL15" s="281"/>
      <c r="CM15" s="286"/>
      <c r="CN15" s="287"/>
      <c r="CO15" s="287"/>
      <c r="CP15" s="287"/>
      <c r="CQ15" s="287"/>
      <c r="CR15" s="287"/>
      <c r="CS15" s="287"/>
      <c r="CT15" s="287"/>
      <c r="CU15" s="287"/>
      <c r="CV15" s="287"/>
      <c r="CW15" s="281"/>
      <c r="CX15" s="286"/>
      <c r="CY15" s="287"/>
      <c r="CZ15" s="287"/>
      <c r="DA15" s="287"/>
      <c r="DB15" s="287"/>
      <c r="DC15" s="287"/>
      <c r="DD15" s="287"/>
      <c r="DE15" s="287"/>
      <c r="DF15" s="287"/>
      <c r="DG15" s="287"/>
      <c r="DH15" s="281"/>
      <c r="DI15" s="291"/>
      <c r="DJ15" s="292"/>
      <c r="DK15" s="292"/>
      <c r="DL15" s="292"/>
      <c r="DM15" s="292"/>
      <c r="DN15" s="292"/>
      <c r="DO15" s="292"/>
      <c r="DP15" s="292"/>
      <c r="DQ15" s="292"/>
      <c r="DR15" s="292"/>
      <c r="DS15" s="293"/>
      <c r="DT15" s="286"/>
      <c r="DU15" s="287"/>
      <c r="DV15" s="287"/>
      <c r="DW15" s="287"/>
      <c r="DX15" s="287"/>
      <c r="DY15" s="287"/>
      <c r="DZ15" s="287"/>
      <c r="EA15" s="287"/>
      <c r="EB15" s="287"/>
      <c r="EC15" s="287"/>
      <c r="ED15" s="281"/>
      <c r="EE15" s="286"/>
      <c r="EF15" s="287"/>
      <c r="EG15" s="287"/>
      <c r="EH15" s="287"/>
      <c r="EI15" s="287"/>
      <c r="EJ15" s="287"/>
      <c r="EK15" s="287"/>
      <c r="EL15" s="287"/>
      <c r="EM15" s="287"/>
      <c r="EN15" s="287"/>
      <c r="EO15" s="281"/>
      <c r="EP15" s="291"/>
      <c r="EQ15" s="292"/>
      <c r="ER15" s="292"/>
      <c r="ES15" s="292"/>
      <c r="ET15" s="292"/>
      <c r="EU15" s="292"/>
      <c r="EV15" s="292"/>
      <c r="EW15" s="292"/>
      <c r="EX15" s="292"/>
      <c r="EY15" s="292"/>
      <c r="EZ15" s="293"/>
      <c r="FA15" s="291"/>
      <c r="FB15" s="292"/>
      <c r="FC15" s="292"/>
      <c r="FD15" s="292"/>
      <c r="FE15" s="292"/>
      <c r="FF15" s="292"/>
      <c r="FG15" s="292"/>
      <c r="FH15" s="292"/>
      <c r="FI15" s="292"/>
      <c r="FJ15" s="292"/>
      <c r="FK15" s="293"/>
      <c r="FL15" s="291"/>
      <c r="FM15" s="292"/>
      <c r="FN15" s="292"/>
      <c r="FO15" s="292"/>
      <c r="FP15" s="292"/>
      <c r="FQ15" s="292"/>
      <c r="FR15" s="292"/>
      <c r="FS15" s="292"/>
      <c r="FT15" s="292"/>
      <c r="FU15" s="292"/>
      <c r="FV15" s="293"/>
      <c r="FW15" s="291"/>
      <c r="FX15" s="292"/>
      <c r="FY15" s="292"/>
      <c r="FZ15" s="292"/>
      <c r="GA15" s="292"/>
      <c r="GB15" s="292"/>
      <c r="GC15" s="292"/>
      <c r="GD15" s="292"/>
      <c r="GE15" s="292"/>
      <c r="GF15" s="292"/>
      <c r="GG15" s="293"/>
    </row>
    <row r="16" spans="2:189" ht="31.2" x14ac:dyDescent="0.3">
      <c r="B16" s="270"/>
      <c r="C16" s="273"/>
      <c r="D16" s="273"/>
      <c r="E16" s="275"/>
      <c r="F16" s="275"/>
      <c r="G16" s="275"/>
      <c r="H16" s="275"/>
      <c r="I16" s="275"/>
      <c r="J16" s="275"/>
      <c r="K16" s="275"/>
      <c r="L16" s="283"/>
      <c r="M16" s="283"/>
      <c r="N16" s="50" t="s">
        <v>8</v>
      </c>
      <c r="O16" s="51" t="s">
        <v>32</v>
      </c>
      <c r="P16" s="118" t="s">
        <v>31</v>
      </c>
      <c r="Q16" s="51" t="s">
        <v>33</v>
      </c>
      <c r="R16" s="158" t="s">
        <v>34</v>
      </c>
      <c r="S16" s="51" t="s">
        <v>3</v>
      </c>
      <c r="T16" s="10" t="s">
        <v>15</v>
      </c>
      <c r="U16" s="10" t="s">
        <v>18</v>
      </c>
      <c r="V16" s="10" t="s">
        <v>19</v>
      </c>
      <c r="W16" s="10" t="s">
        <v>2</v>
      </c>
      <c r="X16" s="38" t="s">
        <v>20</v>
      </c>
      <c r="Y16" s="37" t="s">
        <v>8</v>
      </c>
      <c r="Z16" s="10" t="s">
        <v>32</v>
      </c>
      <c r="AA16" s="117" t="s">
        <v>31</v>
      </c>
      <c r="AB16" s="10" t="s">
        <v>33</v>
      </c>
      <c r="AC16" s="177" t="s">
        <v>34</v>
      </c>
      <c r="AD16" s="10" t="s">
        <v>3</v>
      </c>
      <c r="AE16" s="10" t="s">
        <v>15</v>
      </c>
      <c r="AF16" s="10" t="s">
        <v>18</v>
      </c>
      <c r="AG16" s="10" t="s">
        <v>19</v>
      </c>
      <c r="AH16" s="10" t="s">
        <v>2</v>
      </c>
      <c r="AI16" s="38" t="s">
        <v>20</v>
      </c>
      <c r="AJ16" s="37" t="s">
        <v>8</v>
      </c>
      <c r="AK16" s="10" t="s">
        <v>32</v>
      </c>
      <c r="AL16" s="117" t="s">
        <v>31</v>
      </c>
      <c r="AM16" s="10" t="s">
        <v>33</v>
      </c>
      <c r="AN16" s="177" t="s">
        <v>34</v>
      </c>
      <c r="AO16" s="10" t="s">
        <v>3</v>
      </c>
      <c r="AP16" s="10" t="s">
        <v>15</v>
      </c>
      <c r="AQ16" s="10" t="s">
        <v>18</v>
      </c>
      <c r="AR16" s="10" t="s">
        <v>19</v>
      </c>
      <c r="AS16" s="10" t="s">
        <v>2</v>
      </c>
      <c r="AT16" s="38" t="s">
        <v>20</v>
      </c>
      <c r="AU16" s="37" t="s">
        <v>8</v>
      </c>
      <c r="AV16" s="10" t="s">
        <v>32</v>
      </c>
      <c r="AW16" s="117" t="s">
        <v>31</v>
      </c>
      <c r="AX16" s="10" t="s">
        <v>33</v>
      </c>
      <c r="AY16" s="177" t="s">
        <v>34</v>
      </c>
      <c r="AZ16" s="10" t="s">
        <v>3</v>
      </c>
      <c r="BA16" s="10" t="s">
        <v>15</v>
      </c>
      <c r="BB16" s="10" t="s">
        <v>18</v>
      </c>
      <c r="BC16" s="10" t="s">
        <v>19</v>
      </c>
      <c r="BD16" s="10" t="s">
        <v>2</v>
      </c>
      <c r="BE16" s="38" t="s">
        <v>20</v>
      </c>
      <c r="BF16" s="37" t="s">
        <v>8</v>
      </c>
      <c r="BG16" s="10" t="s">
        <v>32</v>
      </c>
      <c r="BH16" s="117" t="s">
        <v>31</v>
      </c>
      <c r="BI16" s="10" t="s">
        <v>33</v>
      </c>
      <c r="BJ16" s="177" t="s">
        <v>34</v>
      </c>
      <c r="BK16" s="10" t="s">
        <v>3</v>
      </c>
      <c r="BL16" s="10" t="s">
        <v>15</v>
      </c>
      <c r="BM16" s="10" t="s">
        <v>18</v>
      </c>
      <c r="BN16" s="10" t="s">
        <v>19</v>
      </c>
      <c r="BO16" s="10" t="s">
        <v>2</v>
      </c>
      <c r="BP16" s="38" t="s">
        <v>20</v>
      </c>
      <c r="BQ16" s="37" t="s">
        <v>8</v>
      </c>
      <c r="BR16" s="10" t="s">
        <v>32</v>
      </c>
      <c r="BS16" s="117" t="s">
        <v>31</v>
      </c>
      <c r="BT16" s="10" t="s">
        <v>33</v>
      </c>
      <c r="BU16" s="10" t="s">
        <v>34</v>
      </c>
      <c r="BV16" s="10" t="s">
        <v>3</v>
      </c>
      <c r="BW16" s="10" t="s">
        <v>15</v>
      </c>
      <c r="BX16" s="10" t="s">
        <v>18</v>
      </c>
      <c r="BY16" s="10" t="s">
        <v>19</v>
      </c>
      <c r="BZ16" s="10" t="s">
        <v>2</v>
      </c>
      <c r="CA16" s="38" t="s">
        <v>20</v>
      </c>
      <c r="CB16" s="37" t="s">
        <v>8</v>
      </c>
      <c r="CC16" s="10" t="s">
        <v>32</v>
      </c>
      <c r="CD16" s="117" t="s">
        <v>31</v>
      </c>
      <c r="CE16" s="10" t="s">
        <v>33</v>
      </c>
      <c r="CF16" s="177" t="s">
        <v>34</v>
      </c>
      <c r="CG16" s="10" t="s">
        <v>3</v>
      </c>
      <c r="CH16" s="10" t="s">
        <v>15</v>
      </c>
      <c r="CI16" s="10" t="s">
        <v>18</v>
      </c>
      <c r="CJ16" s="10" t="s">
        <v>19</v>
      </c>
      <c r="CK16" s="10" t="s">
        <v>2</v>
      </c>
      <c r="CL16" s="38" t="s">
        <v>20</v>
      </c>
      <c r="CM16" s="37" t="s">
        <v>8</v>
      </c>
      <c r="CN16" s="10" t="s">
        <v>32</v>
      </c>
      <c r="CO16" s="117" t="s">
        <v>31</v>
      </c>
      <c r="CP16" s="10" t="s">
        <v>33</v>
      </c>
      <c r="CQ16" s="177" t="s">
        <v>34</v>
      </c>
      <c r="CR16" s="10" t="s">
        <v>3</v>
      </c>
      <c r="CS16" s="10" t="s">
        <v>15</v>
      </c>
      <c r="CT16" s="10" t="s">
        <v>18</v>
      </c>
      <c r="CU16" s="10" t="s">
        <v>19</v>
      </c>
      <c r="CV16" s="10" t="s">
        <v>2</v>
      </c>
      <c r="CW16" s="38" t="s">
        <v>20</v>
      </c>
      <c r="CX16" s="37" t="s">
        <v>8</v>
      </c>
      <c r="CY16" s="10" t="s">
        <v>32</v>
      </c>
      <c r="CZ16" s="117" t="s">
        <v>31</v>
      </c>
      <c r="DA16" s="10" t="s">
        <v>33</v>
      </c>
      <c r="DB16" s="177" t="s">
        <v>34</v>
      </c>
      <c r="DC16" s="10" t="s">
        <v>3</v>
      </c>
      <c r="DD16" s="10" t="s">
        <v>15</v>
      </c>
      <c r="DE16" s="10" t="s">
        <v>18</v>
      </c>
      <c r="DF16" s="10" t="s">
        <v>19</v>
      </c>
      <c r="DG16" s="10" t="s">
        <v>2</v>
      </c>
      <c r="DH16" s="38" t="s">
        <v>20</v>
      </c>
      <c r="DI16" s="37" t="s">
        <v>8</v>
      </c>
      <c r="DJ16" s="10" t="s">
        <v>32</v>
      </c>
      <c r="DK16" s="117" t="s">
        <v>31</v>
      </c>
      <c r="DL16" s="10" t="s">
        <v>33</v>
      </c>
      <c r="DM16" s="177" t="s">
        <v>34</v>
      </c>
      <c r="DN16" s="10" t="s">
        <v>3</v>
      </c>
      <c r="DO16" s="10" t="s">
        <v>15</v>
      </c>
      <c r="DP16" s="10" t="s">
        <v>18</v>
      </c>
      <c r="DQ16" s="10" t="s">
        <v>19</v>
      </c>
      <c r="DR16" s="10" t="s">
        <v>2</v>
      </c>
      <c r="DS16" s="38" t="s">
        <v>20</v>
      </c>
      <c r="DT16" s="37" t="s">
        <v>8</v>
      </c>
      <c r="DU16" s="10" t="s">
        <v>32</v>
      </c>
      <c r="DV16" s="117" t="s">
        <v>31</v>
      </c>
      <c r="DW16" s="10" t="s">
        <v>33</v>
      </c>
      <c r="DX16" s="177" t="s">
        <v>34</v>
      </c>
      <c r="DY16" s="10" t="s">
        <v>3</v>
      </c>
      <c r="DZ16" s="10" t="s">
        <v>15</v>
      </c>
      <c r="EA16" s="10" t="s">
        <v>18</v>
      </c>
      <c r="EB16" s="10" t="s">
        <v>19</v>
      </c>
      <c r="EC16" s="10" t="s">
        <v>2</v>
      </c>
      <c r="ED16" s="38" t="s">
        <v>20</v>
      </c>
      <c r="EE16" s="37" t="s">
        <v>8</v>
      </c>
      <c r="EF16" s="10" t="s">
        <v>32</v>
      </c>
      <c r="EG16" s="117" t="s">
        <v>31</v>
      </c>
      <c r="EH16" s="10" t="s">
        <v>33</v>
      </c>
      <c r="EI16" s="177" t="s">
        <v>34</v>
      </c>
      <c r="EJ16" s="10" t="s">
        <v>3</v>
      </c>
      <c r="EK16" s="10" t="s">
        <v>15</v>
      </c>
      <c r="EL16" s="10" t="s">
        <v>18</v>
      </c>
      <c r="EM16" s="10" t="s">
        <v>19</v>
      </c>
      <c r="EN16" s="10" t="s">
        <v>2</v>
      </c>
      <c r="EO16" s="38" t="s">
        <v>20</v>
      </c>
      <c r="EP16" s="37" t="s">
        <v>8</v>
      </c>
      <c r="EQ16" s="10" t="s">
        <v>32</v>
      </c>
      <c r="ER16" s="117" t="s">
        <v>31</v>
      </c>
      <c r="ES16" s="10" t="s">
        <v>33</v>
      </c>
      <c r="ET16" s="177" t="s">
        <v>34</v>
      </c>
      <c r="EU16" s="10" t="s">
        <v>3</v>
      </c>
      <c r="EV16" s="10" t="s">
        <v>15</v>
      </c>
      <c r="EW16" s="10" t="s">
        <v>18</v>
      </c>
      <c r="EX16" s="10" t="s">
        <v>19</v>
      </c>
      <c r="EY16" s="10" t="s">
        <v>2</v>
      </c>
      <c r="EZ16" s="38" t="s">
        <v>20</v>
      </c>
      <c r="FA16" s="37" t="s">
        <v>8</v>
      </c>
      <c r="FB16" s="10" t="s">
        <v>32</v>
      </c>
      <c r="FC16" s="117" t="s">
        <v>31</v>
      </c>
      <c r="FD16" s="10" t="s">
        <v>33</v>
      </c>
      <c r="FE16" s="177" t="s">
        <v>34</v>
      </c>
      <c r="FF16" s="10" t="s">
        <v>3</v>
      </c>
      <c r="FG16" s="10" t="s">
        <v>15</v>
      </c>
      <c r="FH16" s="10" t="s">
        <v>18</v>
      </c>
      <c r="FI16" s="10" t="s">
        <v>19</v>
      </c>
      <c r="FJ16" s="10" t="s">
        <v>2</v>
      </c>
      <c r="FK16" s="38" t="s">
        <v>20</v>
      </c>
      <c r="FL16" s="37" t="s">
        <v>8</v>
      </c>
      <c r="FM16" s="10" t="s">
        <v>32</v>
      </c>
      <c r="FN16" s="117" t="s">
        <v>31</v>
      </c>
      <c r="FO16" s="10" t="s">
        <v>33</v>
      </c>
      <c r="FP16" s="177" t="s">
        <v>34</v>
      </c>
      <c r="FQ16" s="10" t="s">
        <v>3</v>
      </c>
      <c r="FR16" s="10" t="s">
        <v>15</v>
      </c>
      <c r="FS16" s="10" t="s">
        <v>18</v>
      </c>
      <c r="FT16" s="10" t="s">
        <v>19</v>
      </c>
      <c r="FU16" s="10" t="s">
        <v>2</v>
      </c>
      <c r="FV16" s="38" t="s">
        <v>20</v>
      </c>
      <c r="FW16" s="37" t="s">
        <v>8</v>
      </c>
      <c r="FX16" s="10" t="s">
        <v>32</v>
      </c>
      <c r="FY16" s="117" t="s">
        <v>31</v>
      </c>
      <c r="FZ16" s="10" t="s">
        <v>33</v>
      </c>
      <c r="GA16" s="177" t="s">
        <v>34</v>
      </c>
      <c r="GB16" s="10" t="s">
        <v>3</v>
      </c>
      <c r="GC16" s="10" t="s">
        <v>15</v>
      </c>
      <c r="GD16" s="10" t="s">
        <v>18</v>
      </c>
      <c r="GE16" s="10" t="s">
        <v>19</v>
      </c>
      <c r="GF16" s="10" t="s">
        <v>2</v>
      </c>
      <c r="GG16" s="38" t="s">
        <v>20</v>
      </c>
    </row>
    <row r="17" spans="2:202" ht="18" x14ac:dyDescent="0.3">
      <c r="B17" s="271"/>
      <c r="C17" s="5"/>
      <c r="D17" s="5"/>
      <c r="E17" s="13" t="s">
        <v>5</v>
      </c>
      <c r="F17" s="13" t="s">
        <v>5</v>
      </c>
      <c r="G17" s="6" t="s">
        <v>4</v>
      </c>
      <c r="H17" s="6" t="s">
        <v>4</v>
      </c>
      <c r="I17" s="6" t="s">
        <v>4</v>
      </c>
      <c r="J17" s="6" t="s">
        <v>125</v>
      </c>
      <c r="K17" s="6" t="s">
        <v>126</v>
      </c>
      <c r="L17" s="28"/>
      <c r="M17" s="74"/>
      <c r="N17" s="52" t="s">
        <v>45</v>
      </c>
      <c r="O17" s="53" t="s">
        <v>9</v>
      </c>
      <c r="P17" s="53" t="s">
        <v>10</v>
      </c>
      <c r="Q17" s="53" t="s">
        <v>9</v>
      </c>
      <c r="R17" s="53" t="s">
        <v>10</v>
      </c>
      <c r="S17" s="53" t="s">
        <v>46</v>
      </c>
      <c r="T17" s="13" t="s">
        <v>16</v>
      </c>
      <c r="U17" s="13" t="s">
        <v>47</v>
      </c>
      <c r="V17" s="13" t="s">
        <v>47</v>
      </c>
      <c r="W17" s="13" t="s">
        <v>11</v>
      </c>
      <c r="X17" s="40" t="s">
        <v>17</v>
      </c>
      <c r="Y17" s="39" t="s">
        <v>5</v>
      </c>
      <c r="Z17" s="13" t="s">
        <v>9</v>
      </c>
      <c r="AA17" s="13" t="s">
        <v>10</v>
      </c>
      <c r="AB17" s="13" t="s">
        <v>9</v>
      </c>
      <c r="AC17" s="13" t="s">
        <v>10</v>
      </c>
      <c r="AD17" s="13" t="s">
        <v>12</v>
      </c>
      <c r="AE17" s="13" t="s">
        <v>16</v>
      </c>
      <c r="AF17" s="13" t="s">
        <v>47</v>
      </c>
      <c r="AG17" s="13" t="s">
        <v>47</v>
      </c>
      <c r="AH17" s="13" t="s">
        <v>11</v>
      </c>
      <c r="AI17" s="40" t="s">
        <v>17</v>
      </c>
      <c r="AJ17" s="39" t="s">
        <v>5</v>
      </c>
      <c r="AK17" s="13" t="s">
        <v>9</v>
      </c>
      <c r="AL17" s="13" t="s">
        <v>10</v>
      </c>
      <c r="AM17" s="13" t="s">
        <v>9</v>
      </c>
      <c r="AN17" s="13" t="s">
        <v>10</v>
      </c>
      <c r="AO17" s="13" t="s">
        <v>12</v>
      </c>
      <c r="AP17" s="13" t="s">
        <v>16</v>
      </c>
      <c r="AQ17" s="13" t="s">
        <v>47</v>
      </c>
      <c r="AR17" s="13" t="s">
        <v>47</v>
      </c>
      <c r="AS17" s="13" t="s">
        <v>11</v>
      </c>
      <c r="AT17" s="40" t="s">
        <v>17</v>
      </c>
      <c r="AU17" s="39" t="s">
        <v>5</v>
      </c>
      <c r="AV17" s="13" t="s">
        <v>9</v>
      </c>
      <c r="AW17" s="13" t="s">
        <v>10</v>
      </c>
      <c r="AX17" s="13" t="s">
        <v>9</v>
      </c>
      <c r="AY17" s="13" t="s">
        <v>10</v>
      </c>
      <c r="AZ17" s="13" t="s">
        <v>12</v>
      </c>
      <c r="BA17" s="13" t="s">
        <v>16</v>
      </c>
      <c r="BB17" s="13" t="s">
        <v>47</v>
      </c>
      <c r="BC17" s="13" t="s">
        <v>47</v>
      </c>
      <c r="BD17" s="13" t="s">
        <v>11</v>
      </c>
      <c r="BE17" s="40" t="s">
        <v>17</v>
      </c>
      <c r="BF17" s="39" t="s">
        <v>5</v>
      </c>
      <c r="BG17" s="13" t="s">
        <v>9</v>
      </c>
      <c r="BH17" s="13" t="s">
        <v>10</v>
      </c>
      <c r="BI17" s="13" t="s">
        <v>9</v>
      </c>
      <c r="BJ17" s="13" t="s">
        <v>10</v>
      </c>
      <c r="BK17" s="13" t="s">
        <v>12</v>
      </c>
      <c r="BL17" s="13" t="s">
        <v>16</v>
      </c>
      <c r="BM17" s="13" t="s">
        <v>47</v>
      </c>
      <c r="BN17" s="13" t="s">
        <v>47</v>
      </c>
      <c r="BO17" s="13" t="s">
        <v>11</v>
      </c>
      <c r="BP17" s="40" t="s">
        <v>17</v>
      </c>
      <c r="BQ17" s="39" t="s">
        <v>5</v>
      </c>
      <c r="BR17" s="13" t="s">
        <v>9</v>
      </c>
      <c r="BS17" s="13" t="s">
        <v>10</v>
      </c>
      <c r="BT17" s="13" t="s">
        <v>9</v>
      </c>
      <c r="BU17" s="13" t="s">
        <v>10</v>
      </c>
      <c r="BV17" s="13" t="s">
        <v>12</v>
      </c>
      <c r="BW17" s="13" t="s">
        <v>16</v>
      </c>
      <c r="BX17" s="13" t="s">
        <v>47</v>
      </c>
      <c r="BY17" s="13" t="s">
        <v>47</v>
      </c>
      <c r="BZ17" s="13" t="s">
        <v>11</v>
      </c>
      <c r="CA17" s="40" t="s">
        <v>17</v>
      </c>
      <c r="CB17" s="39" t="s">
        <v>5</v>
      </c>
      <c r="CC17" s="13" t="s">
        <v>9</v>
      </c>
      <c r="CD17" s="13" t="s">
        <v>10</v>
      </c>
      <c r="CE17" s="13" t="s">
        <v>9</v>
      </c>
      <c r="CF17" s="13" t="s">
        <v>10</v>
      </c>
      <c r="CG17" s="13" t="s">
        <v>12</v>
      </c>
      <c r="CH17" s="13" t="s">
        <v>16</v>
      </c>
      <c r="CI17" s="13" t="s">
        <v>47</v>
      </c>
      <c r="CJ17" s="13" t="s">
        <v>47</v>
      </c>
      <c r="CK17" s="13" t="s">
        <v>11</v>
      </c>
      <c r="CL17" s="40" t="s">
        <v>17</v>
      </c>
      <c r="CM17" s="39" t="s">
        <v>5</v>
      </c>
      <c r="CN17" s="13" t="s">
        <v>9</v>
      </c>
      <c r="CO17" s="13" t="s">
        <v>10</v>
      </c>
      <c r="CP17" s="13" t="s">
        <v>9</v>
      </c>
      <c r="CQ17" s="13" t="s">
        <v>10</v>
      </c>
      <c r="CR17" s="13" t="s">
        <v>12</v>
      </c>
      <c r="CS17" s="13" t="s">
        <v>16</v>
      </c>
      <c r="CT17" s="13" t="s">
        <v>47</v>
      </c>
      <c r="CU17" s="13" t="s">
        <v>47</v>
      </c>
      <c r="CV17" s="13" t="s">
        <v>11</v>
      </c>
      <c r="CW17" s="40" t="s">
        <v>17</v>
      </c>
      <c r="CX17" s="39" t="s">
        <v>5</v>
      </c>
      <c r="CY17" s="13" t="s">
        <v>9</v>
      </c>
      <c r="CZ17" s="13" t="s">
        <v>10</v>
      </c>
      <c r="DA17" s="13" t="s">
        <v>9</v>
      </c>
      <c r="DB17" s="13" t="s">
        <v>10</v>
      </c>
      <c r="DC17" s="13" t="s">
        <v>12</v>
      </c>
      <c r="DD17" s="13" t="s">
        <v>16</v>
      </c>
      <c r="DE17" s="13" t="s">
        <v>47</v>
      </c>
      <c r="DF17" s="13" t="s">
        <v>47</v>
      </c>
      <c r="DG17" s="13" t="s">
        <v>11</v>
      </c>
      <c r="DH17" s="40" t="s">
        <v>17</v>
      </c>
      <c r="DI17" s="39" t="s">
        <v>5</v>
      </c>
      <c r="DJ17" s="13" t="s">
        <v>9</v>
      </c>
      <c r="DK17" s="13" t="s">
        <v>10</v>
      </c>
      <c r="DL17" s="13" t="s">
        <v>9</v>
      </c>
      <c r="DM17" s="13" t="s">
        <v>10</v>
      </c>
      <c r="DN17" s="13" t="s">
        <v>12</v>
      </c>
      <c r="DO17" s="13" t="s">
        <v>16</v>
      </c>
      <c r="DP17" s="13" t="s">
        <v>47</v>
      </c>
      <c r="DQ17" s="13" t="s">
        <v>47</v>
      </c>
      <c r="DR17" s="13" t="s">
        <v>11</v>
      </c>
      <c r="DS17" s="40" t="s">
        <v>17</v>
      </c>
      <c r="DT17" s="39" t="s">
        <v>5</v>
      </c>
      <c r="DU17" s="13" t="s">
        <v>9</v>
      </c>
      <c r="DV17" s="13" t="s">
        <v>10</v>
      </c>
      <c r="DW17" s="13" t="s">
        <v>9</v>
      </c>
      <c r="DX17" s="13" t="s">
        <v>10</v>
      </c>
      <c r="DY17" s="13" t="s">
        <v>12</v>
      </c>
      <c r="DZ17" s="13" t="s">
        <v>16</v>
      </c>
      <c r="EA17" s="13" t="s">
        <v>47</v>
      </c>
      <c r="EB17" s="13" t="s">
        <v>47</v>
      </c>
      <c r="EC17" s="13" t="s">
        <v>11</v>
      </c>
      <c r="ED17" s="40" t="s">
        <v>17</v>
      </c>
      <c r="EE17" s="39" t="s">
        <v>5</v>
      </c>
      <c r="EF17" s="13" t="s">
        <v>9</v>
      </c>
      <c r="EG17" s="13" t="s">
        <v>10</v>
      </c>
      <c r="EH17" s="13" t="s">
        <v>9</v>
      </c>
      <c r="EI17" s="13" t="s">
        <v>10</v>
      </c>
      <c r="EJ17" s="13" t="s">
        <v>12</v>
      </c>
      <c r="EK17" s="13" t="s">
        <v>16</v>
      </c>
      <c r="EL17" s="13" t="s">
        <v>47</v>
      </c>
      <c r="EM17" s="13" t="s">
        <v>47</v>
      </c>
      <c r="EN17" s="13" t="s">
        <v>11</v>
      </c>
      <c r="EO17" s="40" t="s">
        <v>17</v>
      </c>
      <c r="EP17" s="39" t="s">
        <v>5</v>
      </c>
      <c r="EQ17" s="13" t="s">
        <v>9</v>
      </c>
      <c r="ER17" s="13" t="s">
        <v>10</v>
      </c>
      <c r="ES17" s="13" t="s">
        <v>9</v>
      </c>
      <c r="ET17" s="13" t="s">
        <v>10</v>
      </c>
      <c r="EU17" s="13" t="s">
        <v>12</v>
      </c>
      <c r="EV17" s="13" t="s">
        <v>16</v>
      </c>
      <c r="EW17" s="13" t="s">
        <v>47</v>
      </c>
      <c r="EX17" s="13" t="s">
        <v>47</v>
      </c>
      <c r="EY17" s="13" t="s">
        <v>11</v>
      </c>
      <c r="EZ17" s="40" t="s">
        <v>17</v>
      </c>
      <c r="FA17" s="39" t="s">
        <v>5</v>
      </c>
      <c r="FB17" s="13" t="s">
        <v>9</v>
      </c>
      <c r="FC17" s="13" t="s">
        <v>10</v>
      </c>
      <c r="FD17" s="13" t="s">
        <v>9</v>
      </c>
      <c r="FE17" s="13" t="s">
        <v>10</v>
      </c>
      <c r="FF17" s="13" t="s">
        <v>12</v>
      </c>
      <c r="FG17" s="13" t="s">
        <v>16</v>
      </c>
      <c r="FH17" s="13" t="s">
        <v>47</v>
      </c>
      <c r="FI17" s="13" t="s">
        <v>47</v>
      </c>
      <c r="FJ17" s="13" t="s">
        <v>11</v>
      </c>
      <c r="FK17" s="40" t="s">
        <v>17</v>
      </c>
      <c r="FL17" s="39" t="s">
        <v>5</v>
      </c>
      <c r="FM17" s="13" t="s">
        <v>9</v>
      </c>
      <c r="FN17" s="13" t="s">
        <v>10</v>
      </c>
      <c r="FO17" s="13" t="s">
        <v>9</v>
      </c>
      <c r="FP17" s="13" t="s">
        <v>10</v>
      </c>
      <c r="FQ17" s="13" t="s">
        <v>12</v>
      </c>
      <c r="FR17" s="13" t="s">
        <v>16</v>
      </c>
      <c r="FS17" s="13" t="s">
        <v>47</v>
      </c>
      <c r="FT17" s="13" t="s">
        <v>47</v>
      </c>
      <c r="FU17" s="13" t="s">
        <v>11</v>
      </c>
      <c r="FV17" s="40" t="s">
        <v>17</v>
      </c>
      <c r="FW17" s="39" t="s">
        <v>5</v>
      </c>
      <c r="FX17" s="13" t="s">
        <v>9</v>
      </c>
      <c r="FY17" s="13" t="s">
        <v>10</v>
      </c>
      <c r="FZ17" s="13" t="s">
        <v>9</v>
      </c>
      <c r="GA17" s="13" t="s">
        <v>10</v>
      </c>
      <c r="GB17" s="13" t="s">
        <v>12</v>
      </c>
      <c r="GC17" s="13" t="s">
        <v>16</v>
      </c>
      <c r="GD17" s="13" t="s">
        <v>47</v>
      </c>
      <c r="GE17" s="13" t="s">
        <v>47</v>
      </c>
      <c r="GF17" s="13" t="s">
        <v>11</v>
      </c>
      <c r="GG17" s="40" t="s">
        <v>17</v>
      </c>
    </row>
    <row r="18" spans="2:202" ht="13.8" x14ac:dyDescent="0.25">
      <c r="B18" s="33"/>
      <c r="C18" s="4"/>
      <c r="D18" s="4"/>
      <c r="E18" s="4"/>
      <c r="F18" s="4"/>
      <c r="G18" s="4"/>
      <c r="H18" s="4"/>
      <c r="I18" s="4"/>
      <c r="J18" s="106"/>
      <c r="K18" s="106"/>
      <c r="L18" s="29"/>
      <c r="M18" s="75"/>
      <c r="N18" s="42"/>
      <c r="O18" s="19"/>
      <c r="P18" s="4"/>
      <c r="Q18" s="19"/>
      <c r="R18" s="4"/>
      <c r="S18" s="25" t="s">
        <v>117</v>
      </c>
      <c r="T18" s="4"/>
      <c r="U18" s="4"/>
      <c r="V18" s="4"/>
      <c r="W18" s="4" t="s">
        <v>117</v>
      </c>
      <c r="X18" s="46"/>
      <c r="Y18" s="42"/>
      <c r="Z18" s="19"/>
      <c r="AA18" s="4"/>
      <c r="AB18" s="19"/>
      <c r="AC18" s="4"/>
      <c r="AD18" s="25" t="s">
        <v>117</v>
      </c>
      <c r="AE18" s="4"/>
      <c r="AF18" s="4"/>
      <c r="AG18" s="4"/>
      <c r="AH18" s="4" t="s">
        <v>117</v>
      </c>
      <c r="AI18" s="46"/>
      <c r="AJ18" s="42"/>
      <c r="AK18" s="19"/>
      <c r="AL18" s="4"/>
      <c r="AM18" s="19"/>
      <c r="AN18" s="4"/>
      <c r="AO18" s="25" t="s">
        <v>117</v>
      </c>
      <c r="AP18" s="4"/>
      <c r="AQ18" s="4"/>
      <c r="AR18" s="4"/>
      <c r="AS18" s="4" t="s">
        <v>117</v>
      </c>
      <c r="AT18" s="46"/>
      <c r="AU18" s="42"/>
      <c r="AV18" s="19"/>
      <c r="AW18" s="4"/>
      <c r="AX18" s="19"/>
      <c r="AY18" s="4"/>
      <c r="AZ18" s="25" t="s">
        <v>117</v>
      </c>
      <c r="BA18" s="4"/>
      <c r="BB18" s="4"/>
      <c r="BC18" s="4"/>
      <c r="BD18" s="4" t="s">
        <v>117</v>
      </c>
      <c r="BE18" s="46"/>
      <c r="BF18" s="42"/>
      <c r="BG18" s="19"/>
      <c r="BH18" s="4"/>
      <c r="BI18" s="19"/>
      <c r="BJ18" s="4"/>
      <c r="BK18" s="25" t="s">
        <v>117</v>
      </c>
      <c r="BL18" s="4"/>
      <c r="BM18" s="4"/>
      <c r="BN18" s="4"/>
      <c r="BO18" s="4" t="s">
        <v>117</v>
      </c>
      <c r="BP18" s="46"/>
      <c r="BQ18" s="42"/>
      <c r="BR18" s="19"/>
      <c r="BS18" s="4"/>
      <c r="BT18" s="19"/>
      <c r="BU18" s="4"/>
      <c r="BV18" s="25" t="s">
        <v>117</v>
      </c>
      <c r="BW18" s="4"/>
      <c r="BX18" s="4"/>
      <c r="BY18" s="4"/>
      <c r="BZ18" s="4" t="s">
        <v>117</v>
      </c>
      <c r="CA18" s="46"/>
      <c r="CB18" s="42"/>
      <c r="CC18" s="19"/>
      <c r="CD18" s="4"/>
      <c r="CE18" s="19"/>
      <c r="CF18" s="4"/>
      <c r="CG18" s="25" t="s">
        <v>117</v>
      </c>
      <c r="CH18" s="4"/>
      <c r="CI18" s="4"/>
      <c r="CJ18" s="4"/>
      <c r="CK18" s="4" t="s">
        <v>117</v>
      </c>
      <c r="CL18" s="46"/>
      <c r="CM18" s="42"/>
      <c r="CN18" s="19"/>
      <c r="CO18" s="4"/>
      <c r="CP18" s="19"/>
      <c r="CQ18" s="4"/>
      <c r="CR18" s="25" t="s">
        <v>117</v>
      </c>
      <c r="CS18" s="4"/>
      <c r="CT18" s="4"/>
      <c r="CU18" s="4"/>
      <c r="CV18" s="4" t="s">
        <v>117</v>
      </c>
      <c r="CW18" s="46"/>
      <c r="CX18" s="42"/>
      <c r="CY18" s="19"/>
      <c r="CZ18" s="4"/>
      <c r="DA18" s="19"/>
      <c r="DB18" s="4"/>
      <c r="DC18" s="25" t="s">
        <v>117</v>
      </c>
      <c r="DD18" s="4"/>
      <c r="DE18" s="4"/>
      <c r="DF18" s="4"/>
      <c r="DG18" s="4" t="s">
        <v>117</v>
      </c>
      <c r="DH18" s="46"/>
      <c r="DI18" s="42"/>
      <c r="DJ18" s="19"/>
      <c r="DK18" s="4"/>
      <c r="DL18" s="19"/>
      <c r="DM18" s="4"/>
      <c r="DN18" s="25" t="s">
        <v>117</v>
      </c>
      <c r="DO18" s="4"/>
      <c r="DP18" s="4"/>
      <c r="DQ18" s="4"/>
      <c r="DR18" s="4" t="s">
        <v>117</v>
      </c>
      <c r="DS18" s="46"/>
      <c r="DT18" s="42"/>
      <c r="DU18" s="19"/>
      <c r="DV18" s="4"/>
      <c r="DW18" s="19"/>
      <c r="DX18" s="4"/>
      <c r="DY18" s="25" t="s">
        <v>117</v>
      </c>
      <c r="DZ18" s="4"/>
      <c r="EA18" s="4"/>
      <c r="EB18" s="4"/>
      <c r="EC18" s="4" t="s">
        <v>117</v>
      </c>
      <c r="ED18" s="46"/>
      <c r="EE18" s="42"/>
      <c r="EF18" s="19"/>
      <c r="EG18" s="4"/>
      <c r="EH18" s="19"/>
      <c r="EI18" s="4"/>
      <c r="EJ18" s="25" t="s">
        <v>117</v>
      </c>
      <c r="EK18" s="4"/>
      <c r="EL18" s="4"/>
      <c r="EM18" s="4"/>
      <c r="EN18" s="4" t="s">
        <v>117</v>
      </c>
      <c r="EO18" s="46"/>
      <c r="EP18" s="42"/>
      <c r="EQ18" s="19"/>
      <c r="ER18" s="4"/>
      <c r="ES18" s="19"/>
      <c r="ET18" s="4"/>
      <c r="EU18" s="25" t="s">
        <v>117</v>
      </c>
      <c r="EV18" s="4"/>
      <c r="EW18" s="4"/>
      <c r="EX18" s="4"/>
      <c r="EY18" s="4" t="s">
        <v>117</v>
      </c>
      <c r="EZ18" s="46"/>
      <c r="FA18" s="42"/>
      <c r="FB18" s="19"/>
      <c r="FC18" s="4"/>
      <c r="FD18" s="19"/>
      <c r="FE18" s="4"/>
      <c r="FF18" s="25" t="s">
        <v>117</v>
      </c>
      <c r="FG18" s="4"/>
      <c r="FH18" s="4"/>
      <c r="FI18" s="4"/>
      <c r="FJ18" s="4" t="s">
        <v>117</v>
      </c>
      <c r="FK18" s="46"/>
      <c r="FL18" s="42"/>
      <c r="FM18" s="19"/>
      <c r="FN18" s="4"/>
      <c r="FO18" s="19"/>
      <c r="FP18" s="4"/>
      <c r="FQ18" s="25" t="s">
        <v>117</v>
      </c>
      <c r="FR18" s="4"/>
      <c r="FS18" s="4"/>
      <c r="FT18" s="4"/>
      <c r="FU18" s="4" t="s">
        <v>117</v>
      </c>
      <c r="FV18" s="46"/>
      <c r="FW18" s="42"/>
      <c r="FX18" s="19"/>
      <c r="FY18" s="4"/>
      <c r="FZ18" s="19"/>
      <c r="GA18" s="4"/>
      <c r="GB18" s="25" t="s">
        <v>117</v>
      </c>
      <c r="GC18" s="4"/>
      <c r="GD18" s="4"/>
      <c r="GE18" s="4"/>
      <c r="GF18" s="4" t="s">
        <v>117</v>
      </c>
      <c r="GG18" s="46"/>
    </row>
    <row r="19" spans="2:202" ht="13.8" hidden="1" x14ac:dyDescent="0.25">
      <c r="B19" s="34" t="s">
        <v>136</v>
      </c>
      <c r="C19" s="2"/>
      <c r="D19" s="2"/>
      <c r="E19" s="2"/>
      <c r="F19" s="2"/>
      <c r="G19" s="2"/>
      <c r="H19" s="2"/>
      <c r="I19" s="2"/>
      <c r="J19" s="107"/>
      <c r="K19" s="107"/>
      <c r="L19" s="32"/>
      <c r="M19" s="76"/>
      <c r="N19" s="41"/>
      <c r="O19" s="20"/>
      <c r="P19" s="2"/>
      <c r="Q19" s="20"/>
      <c r="R19" s="2"/>
      <c r="S19" s="26"/>
      <c r="T19" s="2"/>
      <c r="U19" s="2"/>
      <c r="V19" s="2"/>
      <c r="W19" s="2"/>
      <c r="X19" s="47"/>
      <c r="Y19" s="41"/>
      <c r="Z19" s="20"/>
      <c r="AA19" s="2"/>
      <c r="AB19" s="20"/>
      <c r="AC19" s="2"/>
      <c r="AD19" s="26"/>
      <c r="AE19" s="23"/>
      <c r="AF19" s="2"/>
      <c r="AG19" s="2"/>
      <c r="AH19" s="2"/>
      <c r="AI19" s="47"/>
      <c r="AJ19" s="41"/>
      <c r="AK19" s="20"/>
      <c r="AL19" s="2"/>
      <c r="AM19" s="20"/>
      <c r="AN19" s="2"/>
      <c r="AO19" s="26"/>
      <c r="AP19" s="2"/>
      <c r="AQ19" s="2"/>
      <c r="AR19" s="2"/>
      <c r="AS19" s="2"/>
      <c r="AT19" s="47"/>
      <c r="AU19" s="41"/>
      <c r="AV19" s="20"/>
      <c r="AW19" s="2"/>
      <c r="AX19" s="20"/>
      <c r="AY19" s="2"/>
      <c r="AZ19" s="26"/>
      <c r="BA19" s="2"/>
      <c r="BB19" s="2"/>
      <c r="BC19" s="2"/>
      <c r="BD19" s="2"/>
      <c r="BE19" s="47"/>
      <c r="BF19" s="41"/>
      <c r="BG19" s="20"/>
      <c r="BH19" s="2"/>
      <c r="BI19" s="20"/>
      <c r="BJ19" s="2"/>
      <c r="BK19" s="26"/>
      <c r="BL19" s="2"/>
      <c r="BM19" s="2"/>
      <c r="BN19" s="2"/>
      <c r="BO19" s="2"/>
      <c r="BP19" s="47"/>
      <c r="BQ19" s="41"/>
      <c r="BR19" s="20"/>
      <c r="BS19" s="2"/>
      <c r="BT19" s="20"/>
      <c r="BU19" s="2"/>
      <c r="BV19" s="26"/>
      <c r="BW19" s="2"/>
      <c r="BX19" s="2"/>
      <c r="BY19" s="2"/>
      <c r="BZ19" s="2"/>
      <c r="CA19" s="47"/>
      <c r="CB19" s="41"/>
      <c r="CC19" s="20"/>
      <c r="CD19" s="2"/>
      <c r="CE19" s="20"/>
      <c r="CF19" s="2"/>
      <c r="CG19" s="26"/>
      <c r="CH19" s="2"/>
      <c r="CI19" s="2"/>
      <c r="CJ19" s="2"/>
      <c r="CK19" s="2"/>
      <c r="CL19" s="47"/>
      <c r="CM19" s="41"/>
      <c r="CN19" s="20"/>
      <c r="CO19" s="2"/>
      <c r="CP19" s="20"/>
      <c r="CQ19" s="2"/>
      <c r="CR19" s="26"/>
      <c r="CS19" s="2"/>
      <c r="CT19" s="2"/>
      <c r="CU19" s="2"/>
      <c r="CV19" s="2"/>
      <c r="CW19" s="47"/>
      <c r="CX19" s="41"/>
      <c r="CY19" s="20"/>
      <c r="CZ19" s="2"/>
      <c r="DA19" s="20"/>
      <c r="DB19" s="2"/>
      <c r="DC19" s="26"/>
      <c r="DD19" s="2"/>
      <c r="DE19" s="2"/>
      <c r="DF19" s="2"/>
      <c r="DG19" s="2"/>
      <c r="DH19" s="47"/>
      <c r="DI19" s="41"/>
      <c r="DJ19" s="20"/>
      <c r="DK19" s="2"/>
      <c r="DL19" s="20"/>
      <c r="DM19" s="2"/>
      <c r="DN19" s="26"/>
      <c r="DO19" s="2"/>
      <c r="DP19" s="2"/>
      <c r="DQ19" s="2"/>
      <c r="DR19" s="2"/>
      <c r="DS19" s="47"/>
      <c r="DT19" s="41"/>
      <c r="DU19" s="20"/>
      <c r="DV19" s="2"/>
      <c r="DW19" s="20"/>
      <c r="DX19" s="2"/>
      <c r="DY19" s="26"/>
      <c r="DZ19" s="2"/>
      <c r="EA19" s="2"/>
      <c r="EB19" s="2"/>
      <c r="EC19" s="2"/>
      <c r="ED19" s="47"/>
      <c r="EE19" s="41"/>
      <c r="EF19" s="20"/>
      <c r="EG19" s="2"/>
      <c r="EH19" s="20"/>
      <c r="EI19" s="2"/>
      <c r="EJ19" s="26"/>
      <c r="EK19" s="2"/>
      <c r="EL19" s="2"/>
      <c r="EM19" s="2"/>
      <c r="EN19" s="2"/>
      <c r="EO19" s="47"/>
      <c r="EP19" s="41"/>
      <c r="EQ19" s="20"/>
      <c r="ER19" s="2"/>
      <c r="ES19" s="20"/>
      <c r="ET19" s="2"/>
      <c r="EU19" s="26"/>
      <c r="EV19" s="2"/>
      <c r="EW19" s="2"/>
      <c r="EX19" s="2"/>
      <c r="EY19" s="2"/>
      <c r="EZ19" s="47"/>
      <c r="FA19" s="41"/>
      <c r="FB19" s="20"/>
      <c r="FC19" s="2"/>
      <c r="FD19" s="20"/>
      <c r="FE19" s="2"/>
      <c r="FF19" s="26"/>
      <c r="FG19" s="2"/>
      <c r="FH19" s="2"/>
      <c r="FI19" s="2"/>
      <c r="FJ19" s="2"/>
      <c r="FK19" s="47"/>
      <c r="FL19" s="41"/>
      <c r="FM19" s="20"/>
      <c r="FN19" s="2"/>
      <c r="FO19" s="20"/>
      <c r="FP19" s="2"/>
      <c r="FQ19" s="26"/>
      <c r="FR19" s="2"/>
      <c r="FS19" s="2"/>
      <c r="FT19" s="2"/>
      <c r="FU19" s="2"/>
      <c r="FV19" s="47"/>
      <c r="FW19" s="41"/>
      <c r="FX19" s="20"/>
      <c r="FY19" s="2"/>
      <c r="FZ19" s="20"/>
      <c r="GA19" s="2"/>
      <c r="GB19" s="26"/>
      <c r="GC19" s="2"/>
      <c r="GD19" s="2"/>
      <c r="GE19" s="2"/>
      <c r="GF19" s="2"/>
      <c r="GG19" s="47"/>
    </row>
    <row r="20" spans="2:202" ht="14.4" hidden="1" x14ac:dyDescent="0.3">
      <c r="B20" s="30" t="s">
        <v>113</v>
      </c>
      <c r="C20" s="7"/>
      <c r="D20" s="7"/>
      <c r="E20" s="7"/>
      <c r="F20" s="3"/>
      <c r="G20" s="3"/>
      <c r="H20" s="8"/>
      <c r="I20" s="12"/>
      <c r="J20" s="108"/>
      <c r="K20" s="108"/>
      <c r="L20" s="32"/>
      <c r="M20" s="78"/>
      <c r="N20" s="45"/>
      <c r="O20" s="22"/>
      <c r="P20" s="15"/>
      <c r="Q20" s="22"/>
      <c r="R20" s="15"/>
      <c r="S20" s="24"/>
      <c r="T20" s="16"/>
      <c r="U20" s="14"/>
      <c r="V20" s="14"/>
      <c r="W20" s="14"/>
      <c r="X20" s="44"/>
      <c r="Y20" s="45"/>
      <c r="Z20" s="22"/>
      <c r="AA20" s="15"/>
      <c r="AB20" s="22"/>
      <c r="AC20" s="15"/>
      <c r="AD20" s="24"/>
      <c r="AE20" s="16"/>
      <c r="AF20" s="14"/>
      <c r="AG20" s="14"/>
      <c r="AH20" s="14"/>
      <c r="AI20" s="44"/>
      <c r="AJ20" s="45"/>
      <c r="AK20" s="22"/>
      <c r="AL20" s="15"/>
      <c r="AM20" s="22"/>
      <c r="AN20" s="15"/>
      <c r="AO20" s="24"/>
      <c r="AP20" s="16"/>
      <c r="AQ20" s="14"/>
      <c r="AR20" s="14"/>
      <c r="AS20" s="14"/>
      <c r="AT20" s="44"/>
      <c r="AU20" s="45"/>
      <c r="AV20" s="22"/>
      <c r="AW20" s="15"/>
      <c r="AX20" s="22"/>
      <c r="AY20" s="15"/>
      <c r="AZ20" s="24"/>
      <c r="BA20" s="16"/>
      <c r="BB20" s="14"/>
      <c r="BC20" s="14"/>
      <c r="BD20" s="14"/>
      <c r="BE20" s="44"/>
      <c r="BF20" s="45"/>
      <c r="BG20" s="22"/>
      <c r="BH20" s="15"/>
      <c r="BI20" s="22"/>
      <c r="BJ20" s="15"/>
      <c r="BK20" s="24"/>
      <c r="BL20" s="16"/>
      <c r="BM20" s="14"/>
      <c r="BN20" s="14"/>
      <c r="BO20" s="14"/>
      <c r="BP20" s="44"/>
      <c r="BQ20" s="45"/>
      <c r="BR20" s="22"/>
      <c r="BS20" s="15"/>
      <c r="BT20" s="22"/>
      <c r="BU20" s="15"/>
      <c r="BV20" s="24"/>
      <c r="BW20" s="16"/>
      <c r="BX20" s="14"/>
      <c r="BY20" s="14"/>
      <c r="BZ20" s="14"/>
      <c r="CA20" s="44"/>
      <c r="CB20" s="45"/>
      <c r="CC20" s="22"/>
      <c r="CD20" s="15"/>
      <c r="CE20" s="22"/>
      <c r="CF20" s="15"/>
      <c r="CG20" s="24"/>
      <c r="CH20" s="16"/>
      <c r="CI20" s="14"/>
      <c r="CJ20" s="14"/>
      <c r="CK20" s="14"/>
      <c r="CL20" s="44"/>
      <c r="CM20" s="45"/>
      <c r="CN20" s="22"/>
      <c r="CO20" s="15"/>
      <c r="CP20" s="22"/>
      <c r="CQ20" s="15"/>
      <c r="CR20" s="24"/>
      <c r="CS20" s="16"/>
      <c r="CT20" s="14"/>
      <c r="CU20" s="14"/>
      <c r="CV20" s="14"/>
      <c r="CW20" s="44"/>
      <c r="CX20" s="45"/>
      <c r="CY20" s="22"/>
      <c r="CZ20" s="15"/>
      <c r="DA20" s="22"/>
      <c r="DB20" s="15"/>
      <c r="DC20" s="24"/>
      <c r="DD20" s="16"/>
      <c r="DE20" s="14"/>
      <c r="DF20" s="14"/>
      <c r="DG20" s="14"/>
      <c r="DH20" s="44"/>
      <c r="DI20" s="45"/>
      <c r="DJ20" s="22"/>
      <c r="DK20" s="15"/>
      <c r="DL20" s="22"/>
      <c r="DM20" s="15"/>
      <c r="DN20" s="24"/>
      <c r="DO20" s="16"/>
      <c r="DP20" s="14"/>
      <c r="DQ20" s="14"/>
      <c r="DR20" s="14"/>
      <c r="DS20" s="44"/>
      <c r="DT20" s="45"/>
      <c r="DU20" s="22"/>
      <c r="DV20" s="15"/>
      <c r="DW20" s="22"/>
      <c r="DX20" s="15"/>
      <c r="DY20" s="24"/>
      <c r="DZ20" s="16"/>
      <c r="EA20" s="14"/>
      <c r="EB20" s="14"/>
      <c r="EC20" s="14"/>
      <c r="ED20" s="44"/>
      <c r="EE20" s="45"/>
      <c r="EF20" s="22"/>
      <c r="EG20" s="15"/>
      <c r="EH20" s="22"/>
      <c r="EI20" s="15"/>
      <c r="EJ20" s="24"/>
      <c r="EK20" s="16"/>
      <c r="EL20" s="14"/>
      <c r="EM20" s="14"/>
      <c r="EN20" s="14"/>
      <c r="EO20" s="44"/>
      <c r="EP20" s="45"/>
      <c r="EQ20" s="22"/>
      <c r="ER20" s="15"/>
      <c r="ES20" s="22"/>
      <c r="ET20" s="15"/>
      <c r="EU20" s="24"/>
      <c r="EV20" s="16"/>
      <c r="EW20" s="14"/>
      <c r="EX20" s="14"/>
      <c r="EY20" s="14"/>
      <c r="EZ20" s="44"/>
      <c r="FA20" s="45"/>
      <c r="FB20" s="22"/>
      <c r="FC20" s="15"/>
      <c r="FD20" s="22"/>
      <c r="FE20" s="15"/>
      <c r="FF20" s="24"/>
      <c r="FG20" s="16"/>
      <c r="FH20" s="14"/>
      <c r="FI20" s="14"/>
      <c r="FJ20" s="14"/>
      <c r="FK20" s="44"/>
      <c r="FL20" s="45"/>
      <c r="FM20" s="22"/>
      <c r="FN20" s="15"/>
      <c r="FO20" s="22"/>
      <c r="FP20" s="15"/>
      <c r="FQ20" s="24"/>
      <c r="FR20" s="16"/>
      <c r="FS20" s="14"/>
      <c r="FT20" s="14"/>
      <c r="FU20" s="14"/>
      <c r="FV20" s="44"/>
      <c r="FW20" s="45"/>
      <c r="FX20" s="22"/>
      <c r="FY20" s="15"/>
      <c r="FZ20" s="22"/>
      <c r="GA20" s="15"/>
      <c r="GB20" s="24"/>
      <c r="GC20" s="16"/>
      <c r="GD20" s="14"/>
      <c r="GE20" s="14"/>
      <c r="GF20" s="14"/>
      <c r="GG20" s="44"/>
      <c r="GH20" s="1" t="s">
        <v>0</v>
      </c>
      <c r="GI20" s="61" t="e">
        <f>#REF!</f>
        <v>#REF!</v>
      </c>
      <c r="GJ20" s="62" t="e">
        <f>#REF!</f>
        <v>#REF!</v>
      </c>
      <c r="GK20" s="61" t="e">
        <f>#REF!</f>
        <v>#REF!</v>
      </c>
      <c r="GL20" s="62" t="e">
        <f>#REF!</f>
        <v>#REF!</v>
      </c>
      <c r="GM20" s="61" t="e">
        <f>#REF!</f>
        <v>#REF!</v>
      </c>
      <c r="GN20" s="62" t="e">
        <f>#REF!</f>
        <v>#REF!</v>
      </c>
      <c r="GO20" s="61" t="e">
        <f>#REF!</f>
        <v>#REF!</v>
      </c>
      <c r="GP20" s="62" t="e">
        <f>#REF!</f>
        <v>#REF!</v>
      </c>
      <c r="GQ20" s="61" t="e">
        <f>#REF!</f>
        <v>#REF!</v>
      </c>
      <c r="GR20" s="62" t="e">
        <f>#REF!</f>
        <v>#REF!</v>
      </c>
      <c r="GS20" s="61" t="e">
        <f>#REF!</f>
        <v>#REF!</v>
      </c>
      <c r="GT20" s="62" t="e">
        <f>#REF!</f>
        <v>#REF!</v>
      </c>
    </row>
    <row r="21" spans="2:202" ht="13.8" x14ac:dyDescent="0.25">
      <c r="B21" s="31" t="s">
        <v>144</v>
      </c>
      <c r="C21" s="3" t="s">
        <v>156</v>
      </c>
      <c r="D21" s="3">
        <v>1</v>
      </c>
      <c r="E21" s="3">
        <v>38</v>
      </c>
      <c r="F21" s="3">
        <f>E21-10</f>
        <v>28</v>
      </c>
      <c r="G21" s="11">
        <f>'Cooling Load'!$C$33</f>
        <v>47.738845420205479</v>
      </c>
      <c r="H21" s="14">
        <f>G21*1.15</f>
        <v>54.899672233236295</v>
      </c>
      <c r="I21" s="14">
        <f>'Cooling Load'!$G$33</f>
        <v>22.681488904109589</v>
      </c>
      <c r="J21" s="110">
        <f>'Cooling Load'!G20</f>
        <v>5.8549999999999998E-2</v>
      </c>
      <c r="K21" s="109">
        <f>'Cooling Load'!G26</f>
        <v>275.77049999999997</v>
      </c>
      <c r="L21" s="98">
        <f>I21/H21</f>
        <v>0.41314434096708874</v>
      </c>
      <c r="M21" s="97">
        <f>(1-(1-L21))*(1-$D$8)</f>
        <v>0.3924871239187343</v>
      </c>
      <c r="N21" s="43">
        <f>69+15</f>
        <v>84</v>
      </c>
      <c r="O21" s="15">
        <f>-0.00002515*N21^3+0.0100767*N21^2-1.45844836*N21+82.96962576</f>
        <v>16.654653119999992</v>
      </c>
      <c r="P21" s="15">
        <f>$G$21/(O21*1000)</f>
        <v>2.8663968607594453E-3</v>
      </c>
      <c r="Q21" s="15">
        <f>O21</f>
        <v>16.654653119999992</v>
      </c>
      <c r="R21" s="15">
        <f>($I21/Q21)/1000</f>
        <v>1.3618709882868819E-3</v>
      </c>
      <c r="S21" s="24">
        <f>P21-R21+$J21</f>
        <v>6.0054525872472564E-2</v>
      </c>
      <c r="T21" s="16">
        <f>S21/$D21</f>
        <v>6.0054525872472564E-2</v>
      </c>
      <c r="U21" s="14">
        <f>P21*$Q$10</f>
        <v>8.2819160552386162</v>
      </c>
      <c r="V21" s="14">
        <f>R21*$M21*$Q$7*$D$11</f>
        <v>1.8695200264786374</v>
      </c>
      <c r="W21" s="14">
        <f>U21-V21+$K21</f>
        <v>282.18289602875996</v>
      </c>
      <c r="X21" s="44">
        <f>W21/$D21</f>
        <v>282.18289602875996</v>
      </c>
      <c r="Y21" s="43">
        <f>96+15</f>
        <v>111</v>
      </c>
      <c r="Z21" s="15">
        <f>-0.00002515*Y21^3+0.0100767*Y21^2-1.45844836*Y21+82.96962576</f>
        <v>10.840958850000007</v>
      </c>
      <c r="AA21" s="15">
        <f>$G$21/(Z21*1000)</f>
        <v>4.4035630132666214E-3</v>
      </c>
      <c r="AB21" s="15">
        <f>Z21</f>
        <v>10.840958850000007</v>
      </c>
      <c r="AC21" s="15">
        <f>($I21/AB21)/1000</f>
        <v>2.0922032098765484E-3</v>
      </c>
      <c r="AD21" s="24">
        <f>AA21-AC21+$J21</f>
        <v>6.0861359803390074E-2</v>
      </c>
      <c r="AE21" s="16">
        <f>AD21/$D21</f>
        <v>6.0861359803390074E-2</v>
      </c>
      <c r="AF21" s="14">
        <f>AA21*$R$10</f>
        <v>12.81636942180363</v>
      </c>
      <c r="AG21" s="14">
        <f>AC21*$M21*$R$7*$D$11</f>
        <v>2.8931057910994458</v>
      </c>
      <c r="AH21" s="14">
        <f>AF21-AG21+$K21</f>
        <v>285.69376363070415</v>
      </c>
      <c r="AI21" s="44">
        <f>AH21/$D21</f>
        <v>285.69376363070415</v>
      </c>
      <c r="AJ21" s="43">
        <f>89+15</f>
        <v>104</v>
      </c>
      <c r="AK21" s="15">
        <f>-0.00002515*AJ21^3+0.0100767*AJ21^2-1.45844836*AJ21+82.96962576</f>
        <v>11.990253919999972</v>
      </c>
      <c r="AL21" s="15">
        <f>$G$21/(AK21*1000)</f>
        <v>3.9814707627314023E-3</v>
      </c>
      <c r="AM21" s="15">
        <f>AK21</f>
        <v>11.990253919999972</v>
      </c>
      <c r="AN21" s="15">
        <f>($I21/AM21)/1000</f>
        <v>1.8916604315006569E-3</v>
      </c>
      <c r="AO21" s="24">
        <f>AL21-AN21+$J21</f>
        <v>6.063981033123074E-2</v>
      </c>
      <c r="AP21" s="16">
        <f>AO21/$D21</f>
        <v>6.063981033123074E-2</v>
      </c>
      <c r="AQ21" s="14">
        <f>AL21*$Q$10</f>
        <v>11.503712931290295</v>
      </c>
      <c r="AR21" s="14">
        <f>AN21*$M21*$S$7*$D$11</f>
        <v>2.6592995168090749</v>
      </c>
      <c r="AS21" s="14">
        <f>AQ21-AR21+$K21</f>
        <v>284.61491341448118</v>
      </c>
      <c r="AT21" s="44">
        <f>AS21/$D21</f>
        <v>284.61491341448118</v>
      </c>
      <c r="AU21" s="43">
        <f>88+15</f>
        <v>103</v>
      </c>
      <c r="AV21" s="15">
        <f>-0.00002515*AU21^3+0.0100767*AU21^2-1.45844836*AU21+82.96962576</f>
        <v>12.171070929999985</v>
      </c>
      <c r="AW21" s="178">
        <f>$G$21/(AV21*1000)</f>
        <v>3.9223208618837241E-3</v>
      </c>
      <c r="AX21" s="15">
        <f>AV21</f>
        <v>12.171070929999985</v>
      </c>
      <c r="AY21" s="15">
        <f>($I21/AX21)/1000</f>
        <v>1.8635573676760767E-3</v>
      </c>
      <c r="AZ21" s="24">
        <f>AW21-AY21+$J21</f>
        <v>6.0608763494207643E-2</v>
      </c>
      <c r="BA21" s="16">
        <f>AZ21/$D21</f>
        <v>6.0608763494207643E-2</v>
      </c>
      <c r="BB21" s="14">
        <f>AW21*$S$10</f>
        <v>11.605598558600567</v>
      </c>
      <c r="BC21" s="14">
        <f>AY21*$M21*$T$7*$D$11</f>
        <v>2.6826562124595776</v>
      </c>
      <c r="BD21" s="14">
        <f>BB21-BC21+$K21</f>
        <v>284.69344234614096</v>
      </c>
      <c r="BE21" s="44">
        <f>BD21/$D21</f>
        <v>284.69344234614096</v>
      </c>
      <c r="BF21" s="43">
        <f>83+15</f>
        <v>98</v>
      </c>
      <c r="BG21" s="15">
        <f>-0.00002515*BF21^3+0.0100767*BF21^2-1.45844836*BF21+82.96962576</f>
        <v>13.147334479999984</v>
      </c>
      <c r="BH21" s="15">
        <f>$G$21/(BG21*1000)</f>
        <v>3.6310664715214227E-3</v>
      </c>
      <c r="BI21" s="15">
        <f>BG21</f>
        <v>13.147334479999984</v>
      </c>
      <c r="BJ21" s="15">
        <f>($I21/BI21)/1000</f>
        <v>1.7251777490420717E-3</v>
      </c>
      <c r="BK21" s="24">
        <f>BH21-BJ21+$J21</f>
        <v>6.0455888722479346E-2</v>
      </c>
      <c r="BL21" s="16">
        <f>BK21/$D21</f>
        <v>6.0455888722479346E-2</v>
      </c>
      <c r="BM21" s="14">
        <f>BH21*$T$10</f>
        <v>11.001624163622187</v>
      </c>
      <c r="BN21" s="14">
        <f>BJ21*$M21*$U$7*$D$11</f>
        <v>2.4321715585404693</v>
      </c>
      <c r="BO21" s="14">
        <f>BM21-BN21+$K21</f>
        <v>284.33995260508169</v>
      </c>
      <c r="BP21" s="44">
        <f>BO21/$D21</f>
        <v>284.33995260508169</v>
      </c>
      <c r="BQ21" s="43">
        <f>86+15</f>
        <v>101</v>
      </c>
      <c r="BR21" s="15">
        <f>-0.00002515*BQ21^3+0.0100767*BQ21^2-1.45844836*BQ21+82.96962576</f>
        <v>12.546687949999992</v>
      </c>
      <c r="BS21" s="15">
        <f>$G$21/(BR21*1000)</f>
        <v>3.8048962092984474E-3</v>
      </c>
      <c r="BT21" s="15">
        <f>BR21</f>
        <v>12.546687949999992</v>
      </c>
      <c r="BU21" s="15">
        <f>($I21/BT21)/1000</f>
        <v>1.8077670373645982E-3</v>
      </c>
      <c r="BV21" s="24">
        <f>BS21-BU21+$J21</f>
        <v>6.0547129171933847E-2</v>
      </c>
      <c r="BW21" s="16">
        <f>BV21/$D21</f>
        <v>6.0547129171933847E-2</v>
      </c>
      <c r="BX21" s="14">
        <f>BS21*$U$10</f>
        <v>11.290249081009522</v>
      </c>
      <c r="BY21" s="14">
        <f>BU21*$M21*$V$7*$D$11</f>
        <v>2.6367116696848765</v>
      </c>
      <c r="BZ21" s="14">
        <f>BX21-BY21+$K21</f>
        <v>284.4240374113246</v>
      </c>
      <c r="CA21" s="44">
        <f>BZ21/$D21</f>
        <v>284.4240374113246</v>
      </c>
      <c r="CB21" s="43">
        <f>83+15</f>
        <v>98</v>
      </c>
      <c r="CC21" s="15">
        <f>-0.00002515*CB21^3+0.0100767*CB21^2-1.45844836*CB21+82.96962576</f>
        <v>13.147334479999984</v>
      </c>
      <c r="CD21" s="15">
        <f>$G$21/(CC21*1000)</f>
        <v>3.6310664715214227E-3</v>
      </c>
      <c r="CE21" s="15">
        <f>CC21</f>
        <v>13.147334479999984</v>
      </c>
      <c r="CF21" s="15">
        <f>($I21/CE21)/1000</f>
        <v>1.7251777490420717E-3</v>
      </c>
      <c r="CG21" s="24">
        <f>CD21-CF21+$J21</f>
        <v>6.0455888722479346E-2</v>
      </c>
      <c r="CH21" s="16">
        <f>CG21/$D21</f>
        <v>6.0455888722479346E-2</v>
      </c>
      <c r="CI21" s="14">
        <f>CD21*$V$10</f>
        <v>11.146916005743083</v>
      </c>
      <c r="CJ21" s="14">
        <f>CF21*$M21*$W$7*$D$11</f>
        <v>2.542615434712419</v>
      </c>
      <c r="CK21" s="14">
        <f>CI21-CJ21+$K21</f>
        <v>284.37480057103062</v>
      </c>
      <c r="CL21" s="44">
        <f>CK21/$D21</f>
        <v>284.37480057103062</v>
      </c>
      <c r="CM21" s="43">
        <f>94+15</f>
        <v>109</v>
      </c>
      <c r="CN21" s="15">
        <f>-0.00002515*CM21^3+0.0100767*CM21^2-1.45844836*CM21+82.96962576</f>
        <v>11.150047869999966</v>
      </c>
      <c r="CO21" s="15">
        <f>$G$21/(CN21*1000)</f>
        <v>4.2814924184003192E-3</v>
      </c>
      <c r="CP21" s="15">
        <f>CN21</f>
        <v>11.150047869999966</v>
      </c>
      <c r="CQ21" s="15">
        <f>($I21/CP21)/1000</f>
        <v>2.0342055180889241E-3</v>
      </c>
      <c r="CR21" s="24">
        <f>CO21-CQ21+$J21</f>
        <v>6.0797286900311394E-2</v>
      </c>
      <c r="CS21" s="16">
        <f>CR21/$D21</f>
        <v>6.0797286900311394E-2</v>
      </c>
      <c r="CT21" s="14">
        <f>CO21*$W$10</f>
        <v>13.281354275177513</v>
      </c>
      <c r="CU21" s="14">
        <f>CQ21*$M21*$X$7*$D$11</f>
        <v>2.9849267499006356</v>
      </c>
      <c r="CV21" s="14">
        <f>CT21-CU21+$K21</f>
        <v>286.06692752527687</v>
      </c>
      <c r="CW21" s="44">
        <f>CV21/$D21</f>
        <v>286.06692752527687</v>
      </c>
      <c r="CX21" s="43">
        <f>96+15</f>
        <v>111</v>
      </c>
      <c r="CY21" s="15">
        <f>-0.00002515*CX21^3+0.0100767*CX21^2-1.45844836*CX21+82.96962576</f>
        <v>10.840958850000007</v>
      </c>
      <c r="CZ21" s="15">
        <f>$G$21/(CY21*1000)</f>
        <v>4.4035630132666214E-3</v>
      </c>
      <c r="DA21" s="15">
        <f>CY21</f>
        <v>10.840958850000007</v>
      </c>
      <c r="DB21" s="15">
        <f>($I21/DA21)/1000</f>
        <v>2.0922032098765484E-3</v>
      </c>
      <c r="DC21" s="24">
        <f>CZ21-DB21+$J21</f>
        <v>6.0861359803390074E-2</v>
      </c>
      <c r="DD21" s="16">
        <f>DC21/$D21</f>
        <v>6.0861359803390074E-2</v>
      </c>
      <c r="DE21" s="14">
        <f>CZ21*$X$10</f>
        <v>13.600141173544463</v>
      </c>
      <c r="DF21" s="14">
        <f>DB21*$M21*$Y$7*$D$11</f>
        <v>3.0391619432250674</v>
      </c>
      <c r="DG21" s="14">
        <f>DE21-DF21+$K21</f>
        <v>286.33147923031936</v>
      </c>
      <c r="DH21" s="44">
        <f>DG21/$D21</f>
        <v>286.33147923031936</v>
      </c>
      <c r="DI21" s="43">
        <f>100+15</f>
        <v>115</v>
      </c>
      <c r="DJ21" s="15">
        <f>-0.00002515*DI21^3+0.0100767*DI21^2-1.45844836*DI21+82.96962576</f>
        <v>10.262415609999962</v>
      </c>
      <c r="DK21" s="15">
        <f>$G$21/(DJ21*1000)</f>
        <v>4.6518136893313423E-3</v>
      </c>
      <c r="DL21" s="15">
        <f>DJ21</f>
        <v>10.262415609999962</v>
      </c>
      <c r="DM21" s="15">
        <f>($I21/DL21)/1000</f>
        <v>2.2101510761275501E-3</v>
      </c>
      <c r="DN21" s="24">
        <f>DK21-DM21+$J21</f>
        <v>6.0991662613203788E-2</v>
      </c>
      <c r="DO21" s="16">
        <f>DN21/$D21</f>
        <v>6.0991662613203788E-2</v>
      </c>
      <c r="DP21" s="14">
        <f>DK21*$Y$10</f>
        <v>14.222391911810622</v>
      </c>
      <c r="DQ21" s="14">
        <f>DM21*$M21*$Z$7*$D$11</f>
        <v>3.1760718741048168</v>
      </c>
      <c r="DR21" s="14">
        <f>DP21-DQ21+$K21</f>
        <v>286.81682003770578</v>
      </c>
      <c r="DS21" s="44">
        <f>DR21/$D21</f>
        <v>286.81682003770578</v>
      </c>
      <c r="DT21" s="43">
        <f>104+15</f>
        <v>119</v>
      </c>
      <c r="DU21" s="15">
        <f>-0.00002515*DT21^3+0.0100767*DT21^2-1.45844836*DT21+82.96962576</f>
        <v>9.7286707699999653</v>
      </c>
      <c r="DV21" s="15">
        <f>$G$21/(DU21*1000)</f>
        <v>4.907026514600169E-3</v>
      </c>
      <c r="DW21" s="15">
        <f>DU21</f>
        <v>9.7286707699999653</v>
      </c>
      <c r="DX21" s="15">
        <f>($I21/DW21)/1000</f>
        <v>2.331406770804895E-3</v>
      </c>
      <c r="DY21" s="24">
        <f>DV21-DX21+$J21</f>
        <v>6.1125619743795274E-2</v>
      </c>
      <c r="DZ21" s="16">
        <f>DY21/$D21</f>
        <v>6.1125619743795274E-2</v>
      </c>
      <c r="EA21" s="14">
        <f>DV21*$Z$10</f>
        <v>14.84181851148848</v>
      </c>
      <c r="EB21" s="14">
        <f>DX21*$M21*$AA$7*$D$11</f>
        <v>3.2302863543462257</v>
      </c>
      <c r="EC21" s="14">
        <f>EA21-EB21+$K21</f>
        <v>287.38203215714225</v>
      </c>
      <c r="ED21" s="44">
        <f>EC21/$D21</f>
        <v>287.38203215714225</v>
      </c>
      <c r="EE21" s="43">
        <f>100+15</f>
        <v>115</v>
      </c>
      <c r="EF21" s="15">
        <f>-0.00002515*EE21^3+0.0100767*EE21^2-1.45844836*EE21+82.96962576</f>
        <v>10.262415609999962</v>
      </c>
      <c r="EG21" s="15">
        <f>$G$21/(EF21*1000)</f>
        <v>4.6518136893313423E-3</v>
      </c>
      <c r="EH21" s="15">
        <f>EF21</f>
        <v>10.262415609999962</v>
      </c>
      <c r="EI21" s="15">
        <f>($I21/EH21)/1000</f>
        <v>2.2101510761275501E-3</v>
      </c>
      <c r="EJ21" s="24">
        <f>EG21-EI21+$J21</f>
        <v>6.0991662613203788E-2</v>
      </c>
      <c r="EK21" s="16">
        <f>EJ21/$D21</f>
        <v>6.0991662613203788E-2</v>
      </c>
      <c r="EL21" s="14">
        <f>EG21*$AA$10</f>
        <v>13.565806968120146</v>
      </c>
      <c r="EM21" s="14">
        <f>EI21*$M21*$AB$7*$D$11</f>
        <v>3.1103989381752175</v>
      </c>
      <c r="EN21" s="14">
        <f>EL21-EM21+$K21</f>
        <v>286.22590802994489</v>
      </c>
      <c r="EO21" s="44">
        <f>EN21/$D21</f>
        <v>286.22590802994489</v>
      </c>
      <c r="EP21" s="43">
        <f>101+15</f>
        <v>116</v>
      </c>
      <c r="EQ21" s="15">
        <f>-0.00002515*EP21^3+0.0100767*EP21^2-1.45844836*EP21+82.96962576</f>
        <v>10.125156799999999</v>
      </c>
      <c r="ER21" s="15">
        <f>$G$21/(EQ21*1000)</f>
        <v>4.7148746792943967E-3</v>
      </c>
      <c r="ES21" s="15">
        <f>EQ21</f>
        <v>10.125156799999999</v>
      </c>
      <c r="ET21" s="15">
        <f>($I21/ES21)/1000</f>
        <v>2.2401123609374217E-3</v>
      </c>
      <c r="EU21" s="24">
        <f>ER21-ET21+$J21</f>
        <v>6.1024762318356976E-2</v>
      </c>
      <c r="EV21" s="16">
        <f>EU21/$D21</f>
        <v>6.1024762318356976E-2</v>
      </c>
      <c r="EW21" s="14">
        <f>ER21*$AB$10</f>
        <v>13.965762069797471</v>
      </c>
      <c r="EX21" s="14">
        <f>ET21*$M21*$AC$7*$D$11</f>
        <v>3.2251230805814384</v>
      </c>
      <c r="EY21" s="14">
        <f>EW21-EX21+$K21</f>
        <v>286.51113898921602</v>
      </c>
      <c r="EZ21" s="44">
        <f>EY21/$D21</f>
        <v>286.51113898921602</v>
      </c>
      <c r="FA21" s="43">
        <f>103+15</f>
        <v>118</v>
      </c>
      <c r="FB21" s="15">
        <f>-0.00002515*FA21^3+0.0100767*FA21^2-1.45844836*FA21+82.96962576</f>
        <v>9.8584352799999948</v>
      </c>
      <c r="FC21" s="15">
        <f>$G$21/(FB21*1000)</f>
        <v>4.8424363567161855E-3</v>
      </c>
      <c r="FD21" s="15">
        <f>FB21</f>
        <v>9.8584352799999948</v>
      </c>
      <c r="FE21" s="15">
        <f>($I21/FD21)/1000</f>
        <v>2.3007189538611652E-3</v>
      </c>
      <c r="FF21" s="24">
        <f>FC21-FE21+$J21</f>
        <v>6.1091717402855017E-2</v>
      </c>
      <c r="FG21" s="16">
        <f>FF21/$D21</f>
        <v>6.1091717402855017E-2</v>
      </c>
      <c r="FH21" s="14">
        <f>FC21*$AC$10</f>
        <v>14.673738106763647</v>
      </c>
      <c r="FI21" s="14">
        <f>FE21*$M21*$AD$7*$D$11</f>
        <v>3.2761390536502257</v>
      </c>
      <c r="FJ21" s="14">
        <f>FH21-FI21+$K21</f>
        <v>287.16809905311339</v>
      </c>
      <c r="FK21" s="44">
        <f>FJ21/$D21</f>
        <v>287.16809905311339</v>
      </c>
      <c r="FL21" s="43">
        <f>113+15</f>
        <v>128</v>
      </c>
      <c r="FM21" s="15">
        <f>-0.00002515*FL21^3+0.0100767*FL21^2-1.45844836*FL21+82.96962576</f>
        <v>8.6415156799999835</v>
      </c>
      <c r="FN21" s="15">
        <f>$G$21/(FM21*1000)</f>
        <v>5.5243602150364399E-3</v>
      </c>
      <c r="FO21" s="15">
        <f>FM21</f>
        <v>8.6415156799999835</v>
      </c>
      <c r="FP21" s="15">
        <f>($I21/FO21)/1000</f>
        <v>2.6247118843519398E-3</v>
      </c>
      <c r="FQ21" s="24">
        <f>FN21-FP21+$J21</f>
        <v>6.1449648330684496E-2</v>
      </c>
      <c r="FR21" s="16">
        <f>FQ21/$D21</f>
        <v>6.1449648330684496E-2</v>
      </c>
      <c r="FS21" s="14">
        <f>FN21*$AD$10</f>
        <v>16.556978952123604</v>
      </c>
      <c r="FT21" s="14">
        <f>FP21*$M21*$AE$7*$D$11</f>
        <v>4.124268054083573</v>
      </c>
      <c r="FU21" s="14">
        <f>FS21-FT21+$K21</f>
        <v>288.20321089804003</v>
      </c>
      <c r="FV21" s="44">
        <f>FU21/$D21</f>
        <v>288.20321089804003</v>
      </c>
      <c r="FW21" s="43">
        <f>85+15</f>
        <v>100</v>
      </c>
      <c r="FX21" s="15">
        <f>-0.00002515*FW21^3+0.0100767*FW21^2-1.45844836*FW21+82.96962576</f>
        <v>12.741789760000003</v>
      </c>
      <c r="FY21" s="15">
        <f>$G$21/(FX21*1000)</f>
        <v>3.7466357803258455E-3</v>
      </c>
      <c r="FZ21" s="15">
        <f>FX21</f>
        <v>12.741789760000003</v>
      </c>
      <c r="GA21" s="15">
        <f>($I21/FZ21)/1000</f>
        <v>1.7800865758524007E-3</v>
      </c>
      <c r="GB21" s="24">
        <f>FY21-GA21+$J21</f>
        <v>6.0516549204473441E-2</v>
      </c>
      <c r="GC21" s="16">
        <f>GB21/$D21</f>
        <v>6.0516549204473441E-2</v>
      </c>
      <c r="GD21" s="14">
        <f>FY21*$AE$10</f>
        <v>12.391020460180693</v>
      </c>
      <c r="GE21" s="14">
        <f>GA21*$M21*$AF$7*$D$11</f>
        <v>2.3377018723771528</v>
      </c>
      <c r="GF21" s="14">
        <f>GD21-GE21+$K21</f>
        <v>285.82381858780349</v>
      </c>
      <c r="GG21" s="44">
        <f>GF21/$D21</f>
        <v>285.82381858780349</v>
      </c>
    </row>
    <row r="22" spans="2:202" ht="13.8" x14ac:dyDescent="0.25">
      <c r="B22" s="31" t="s">
        <v>145</v>
      </c>
      <c r="C22" s="3" t="s">
        <v>156</v>
      </c>
      <c r="D22" s="3">
        <v>1</v>
      </c>
      <c r="E22" s="3">
        <v>0</v>
      </c>
      <c r="F22" s="3">
        <f>E22-10</f>
        <v>-10</v>
      </c>
      <c r="G22" s="11">
        <f>'Cooling Load'!$C$33</f>
        <v>47.738845420205479</v>
      </c>
      <c r="H22" s="14">
        <f>G22*1.15</f>
        <v>54.899672233236295</v>
      </c>
      <c r="I22" s="14">
        <f>'Cooling Load'!$G$33</f>
        <v>22.681488904109589</v>
      </c>
      <c r="J22" s="110">
        <f>'Cooling Load'!G20</f>
        <v>5.8549999999999998E-2</v>
      </c>
      <c r="K22" s="109">
        <f>'Cooling Load'!G26</f>
        <v>275.77049999999997</v>
      </c>
      <c r="L22" s="98">
        <f>I22/H22</f>
        <v>0.41314434096708874</v>
      </c>
      <c r="M22" s="97">
        <f>(1-(1-L22))*(1-$E$8)</f>
        <v>0.37182990687037987</v>
      </c>
      <c r="N22" s="43">
        <f>69+10</f>
        <v>79</v>
      </c>
      <c r="O22" s="15">
        <f>0.00000491*N22^3-0.00107023*N22^2-0.03013591*N22+15.74788397</f>
        <v>9.1086631400000009</v>
      </c>
      <c r="P22" s="15">
        <f>$G$22/(O22*1000)</f>
        <v>5.2410375360752966E-3</v>
      </c>
      <c r="Q22" s="15">
        <f>O22</f>
        <v>9.1086631400000009</v>
      </c>
      <c r="R22" s="15">
        <f>($I22/Q22)/1000</f>
        <v>2.4901007486494427E-3</v>
      </c>
      <c r="S22" s="24">
        <f>P22-R22+$J22</f>
        <v>6.1300936787425854E-2</v>
      </c>
      <c r="T22" s="16">
        <f>S22/$D22</f>
        <v>6.1300936787425854E-2</v>
      </c>
      <c r="U22" s="14">
        <f>P22*$Q$11</f>
        <v>14.345995126206512</v>
      </c>
      <c r="V22" s="14">
        <f>R22*$M22*$Q$7*$E$11</f>
        <v>3.2383961645256329</v>
      </c>
      <c r="W22" s="14">
        <f>U22-V22+$K22</f>
        <v>286.87809896168085</v>
      </c>
      <c r="X22" s="44">
        <f>W22/$D22</f>
        <v>286.87809896168085</v>
      </c>
      <c r="Y22" s="43">
        <f>96+10</f>
        <v>106</v>
      </c>
      <c r="Z22" s="15">
        <f>0.00000491*Y22^3-0.00107023*Y22^2-0.03013591*Y22+15.74788397</f>
        <v>6.3762617900000009</v>
      </c>
      <c r="AA22" s="15">
        <f>$G$22/(Z22*1000)</f>
        <v>7.4869644616968392E-3</v>
      </c>
      <c r="AB22" s="15">
        <f>Z22</f>
        <v>6.3762617900000009</v>
      </c>
      <c r="AC22" s="15">
        <f>($I22/AB22)/1000</f>
        <v>3.5571765481275173E-3</v>
      </c>
      <c r="AD22" s="24">
        <f>AA22-AC22+$J22</f>
        <v>6.2479787913569319E-2</v>
      </c>
      <c r="AE22" s="16">
        <f>AD22/$D22</f>
        <v>6.2479787913569319E-2</v>
      </c>
      <c r="AF22" s="14">
        <f>AA22*$R$11</f>
        <v>20.643602008058707</v>
      </c>
      <c r="AG22" s="14">
        <f>AC22*$M22*$R$7*$E$11</f>
        <v>4.6599877510601502</v>
      </c>
      <c r="AH22" s="14">
        <f>AF22-AG22+$K22</f>
        <v>291.75411425699855</v>
      </c>
      <c r="AI22" s="44">
        <f>AH22/$D22</f>
        <v>291.75411425699855</v>
      </c>
      <c r="AJ22" s="43">
        <f>89+10</f>
        <v>99</v>
      </c>
      <c r="AK22" s="15">
        <f>0.00000491*AJ22^3-0.00107023*AJ22^2-0.03013591*AJ22+15.74788397</f>
        <v>7.0392727400000012</v>
      </c>
      <c r="AL22" s="15">
        <f>$G$22/(AK22*1000)</f>
        <v>6.7817865827152863E-3</v>
      </c>
      <c r="AM22" s="15">
        <f>AK22</f>
        <v>7.0392727400000012</v>
      </c>
      <c r="AN22" s="15">
        <f>($I22/AM22)/1000</f>
        <v>3.2221352605396542E-3</v>
      </c>
      <c r="AO22" s="24">
        <f>AL22-AN22+$J22</f>
        <v>6.2109651322175628E-2</v>
      </c>
      <c r="AP22" s="16">
        <f>AO22/$D22</f>
        <v>6.2109651322175628E-2</v>
      </c>
      <c r="AQ22" s="14">
        <f>AL22*$Q$11</f>
        <v>18.563400203285333</v>
      </c>
      <c r="AR22" s="14">
        <f>AN22*$M22*$S$7*$E$11</f>
        <v>4.2912789536545866</v>
      </c>
      <c r="AS22" s="14">
        <f>AQ22-AR22+$K22</f>
        <v>290.04262124963071</v>
      </c>
      <c r="AT22" s="44">
        <f>AS22/$D22</f>
        <v>290.04262124963071</v>
      </c>
      <c r="AU22" s="43">
        <f>88+10</f>
        <v>98</v>
      </c>
      <c r="AV22" s="15">
        <f>0.00000491*AU22^3-0.00107023*AU22^2-0.03013591*AU22+15.74788397</f>
        <v>7.137328590000001</v>
      </c>
      <c r="AW22" s="178">
        <f>$G$22/(AV22*1000)</f>
        <v>6.6886153297035572E-3</v>
      </c>
      <c r="AX22" s="15">
        <f>AV22</f>
        <v>7.137328590000001</v>
      </c>
      <c r="AY22" s="15">
        <f>($I22/AX22)/1000</f>
        <v>3.1778681082286538E-3</v>
      </c>
      <c r="AZ22" s="24">
        <f>AW22-AY22+$J22</f>
        <v>6.20607472214749E-2</v>
      </c>
      <c r="BA22" s="16">
        <f>AZ22/$D22</f>
        <v>6.20607472214749E-2</v>
      </c>
      <c r="BB22" s="14">
        <f>AW22*$S$11</f>
        <v>18.749062218536924</v>
      </c>
      <c r="BC22" s="14">
        <f>AY22*$M22*$T$7*$E$11</f>
        <v>4.3338814438894557</v>
      </c>
      <c r="BD22" s="14">
        <f>BB22-BC22+$K22</f>
        <v>290.18568077464744</v>
      </c>
      <c r="BE22" s="44">
        <f>BD22/$D22</f>
        <v>290.18568077464744</v>
      </c>
      <c r="BF22" s="43">
        <f>83+10</f>
        <v>93</v>
      </c>
      <c r="BG22" s="15">
        <f>0.00000491*BF22^3-0.00107023*BF22^2-0.03013591*BF22+15.74788397</f>
        <v>7.6382179400000023</v>
      </c>
      <c r="BH22" s="15">
        <f>$G$22/(BG22*1000)</f>
        <v>6.2499978129984422E-3</v>
      </c>
      <c r="BI22" s="15">
        <f>BG22</f>
        <v>7.6382179400000023</v>
      </c>
      <c r="BJ22" s="15">
        <f>($I22/BI22)/1000</f>
        <v>2.969473911621535E-3</v>
      </c>
      <c r="BK22" s="24">
        <f>BH22-BJ22+$J22</f>
        <v>6.1830523901376902E-2</v>
      </c>
      <c r="BL22" s="16">
        <f>BK22/$D22</f>
        <v>6.1830523901376902E-2</v>
      </c>
      <c r="BM22" s="14">
        <f>BH22*$T$11</f>
        <v>17.939956049369705</v>
      </c>
      <c r="BN22" s="14">
        <f>BJ22*$M22*$U$7*$E$11</f>
        <v>3.9660553947133956</v>
      </c>
      <c r="BO22" s="14">
        <f>BM22-BN22+$K22</f>
        <v>289.74440065465626</v>
      </c>
      <c r="BP22" s="44">
        <f>BO22/$D22</f>
        <v>289.74440065465626</v>
      </c>
      <c r="BQ22" s="43">
        <f>86+10</f>
        <v>96</v>
      </c>
      <c r="BR22" s="15">
        <f>0.00000491*BQ22^3-0.00107023*BQ22^2-0.03013591*BQ22+15.74788397</f>
        <v>7.3356506900000014</v>
      </c>
      <c r="BS22" s="15">
        <f>$G$22/(BR22*1000)</f>
        <v>6.5077860761940769E-3</v>
      </c>
      <c r="BT22" s="15">
        <f>BR22</f>
        <v>7.3356506900000014</v>
      </c>
      <c r="BU22" s="15">
        <f>($I22/BT22)/1000</f>
        <v>3.0919532380445976E-3</v>
      </c>
      <c r="BV22" s="24">
        <f>BS22-BU22+$J22</f>
        <v>6.1965832838149479E-2</v>
      </c>
      <c r="BW22" s="16">
        <f>BV22/$D22</f>
        <v>6.1965832838149479E-2</v>
      </c>
      <c r="BX22" s="14">
        <f>BS22*$U$11</f>
        <v>18.294177195311498</v>
      </c>
      <c r="BY22" s="14">
        <f>BU22*$M22*$V$7*$E$11</f>
        <v>4.2724009144577417</v>
      </c>
      <c r="BZ22" s="14">
        <f>BX22-BY22+$K22</f>
        <v>289.79227628085374</v>
      </c>
      <c r="CA22" s="44">
        <f>BZ22/$D22</f>
        <v>289.79227628085374</v>
      </c>
      <c r="CB22" s="43">
        <f>83+10</f>
        <v>93</v>
      </c>
      <c r="CC22" s="15">
        <f>0.00000491*CB22^3-0.00107023*CB22^2-0.03013591*CB22+15.74788397</f>
        <v>7.6382179400000023</v>
      </c>
      <c r="CD22" s="15">
        <f>$G$22/(CC22*1000)</f>
        <v>6.2499978129984422E-3</v>
      </c>
      <c r="CE22" s="15">
        <f>CC22</f>
        <v>7.6382179400000023</v>
      </c>
      <c r="CF22" s="15">
        <f>($I22/CE22)/1000</f>
        <v>2.969473911621535E-3</v>
      </c>
      <c r="CG22" s="24">
        <f>CD22-CF22+$J22</f>
        <v>6.1830523901376902E-2</v>
      </c>
      <c r="CH22" s="16">
        <f>CG22/$D22</f>
        <v>6.1830523901376902E-2</v>
      </c>
      <c r="CI22" s="14">
        <f>CD22*$V$11</f>
        <v>18.176878273144585</v>
      </c>
      <c r="CJ22" s="14">
        <f>CF22*$M22*$W$7*$E$11</f>
        <v>4.1461522835889806</v>
      </c>
      <c r="CK22" s="14">
        <f>CI22-CJ22+$K22</f>
        <v>289.80122598955558</v>
      </c>
      <c r="CL22" s="44">
        <f>CK22/$D22</f>
        <v>289.80122598955558</v>
      </c>
      <c r="CM22" s="43">
        <f>94+10</f>
        <v>104</v>
      </c>
      <c r="CN22" s="15">
        <f>0.00000491*CM22^3-0.00107023*CM22^2-0.03013591*CM22+15.74788397</f>
        <v>6.5612238900000026</v>
      </c>
      <c r="CO22" s="15">
        <f>$G$22/(CN22*1000)</f>
        <v>7.2759055658753718E-3</v>
      </c>
      <c r="CP22" s="15">
        <f>CN22</f>
        <v>6.5612238900000026</v>
      </c>
      <c r="CQ22" s="15">
        <f>($I22/CP22)/1000</f>
        <v>3.4568990914452058E-3</v>
      </c>
      <c r="CR22" s="24">
        <f>CO22-CQ22+$J22</f>
        <v>6.2369006474430166E-2</v>
      </c>
      <c r="CS22" s="16">
        <f>CR22/$D22</f>
        <v>6.2369006474430166E-2</v>
      </c>
      <c r="CT22" s="14">
        <f>CO22*$W$11</f>
        <v>21.382237054106128</v>
      </c>
      <c r="CU22" s="14">
        <f>CQ22*$M22*$X$7*$E$11</f>
        <v>4.8055650073881413</v>
      </c>
      <c r="CV22" s="14">
        <f>CT22-CU22+$K22</f>
        <v>292.34717204671796</v>
      </c>
      <c r="CW22" s="44">
        <f>CV22/$D22</f>
        <v>292.34717204671796</v>
      </c>
      <c r="CX22" s="43">
        <f>96+10</f>
        <v>106</v>
      </c>
      <c r="CY22" s="15">
        <f>0.00000491*CX22^3-0.00107023*CX22^2-0.03013591*CX22+15.74788397</f>
        <v>6.3762617900000009</v>
      </c>
      <c r="CZ22" s="15">
        <f>$G$22/(CY22*1000)</f>
        <v>7.4869644616968392E-3</v>
      </c>
      <c r="DA22" s="15">
        <f>CY22</f>
        <v>6.3762617900000009</v>
      </c>
      <c r="DB22" s="15">
        <f>($I22/DA22)/1000</f>
        <v>3.5571765481275173E-3</v>
      </c>
      <c r="DC22" s="24">
        <f>CZ22-DB22+$J22</f>
        <v>6.2479787913569319E-2</v>
      </c>
      <c r="DD22" s="16">
        <f>DC22/$D22</f>
        <v>6.2479787913569319E-2</v>
      </c>
      <c r="DE22" s="14">
        <f>CZ22*$X$11</f>
        <v>21.906040033648935</v>
      </c>
      <c r="DF22" s="14">
        <f>DB22*$M22*$Y$7*$E$11</f>
        <v>4.8952435380992139</v>
      </c>
      <c r="DG22" s="14">
        <f>DE22-DF22+$K22</f>
        <v>292.78129649554967</v>
      </c>
      <c r="DH22" s="44">
        <f>DG22/$D22</f>
        <v>292.78129649554967</v>
      </c>
      <c r="DI22" s="43">
        <f>100+10</f>
        <v>110</v>
      </c>
      <c r="DJ22" s="15">
        <f>0.00000491*DI22^3-0.00107023*DI22^2-0.03013591*DI22+15.74788397</f>
        <v>6.0183608700000022</v>
      </c>
      <c r="DK22" s="15">
        <f>$G$22/(DJ22*1000)</f>
        <v>7.9322005528401386E-3</v>
      </c>
      <c r="DL22" s="15">
        <f>DJ22</f>
        <v>6.0183608700000022</v>
      </c>
      <c r="DM22" s="15">
        <f>($I22/DL22)/1000</f>
        <v>3.7687153352952028E-3</v>
      </c>
      <c r="DN22" s="24">
        <f>DK22-DM22+$J22</f>
        <v>6.271348521754494E-2</v>
      </c>
      <c r="DO22" s="16">
        <f>DN22/$D22</f>
        <v>6.271348521754494E-2</v>
      </c>
      <c r="DP22" s="14">
        <f>DK22*$Y$11</f>
        <v>22.975391460273876</v>
      </c>
      <c r="DQ22" s="14">
        <f>DM22*$M22*$Z$7*$E$11</f>
        <v>5.1307469985359182</v>
      </c>
      <c r="DR22" s="14">
        <f>DP22-DQ22+$K22</f>
        <v>293.61514446173794</v>
      </c>
      <c r="DS22" s="44">
        <f>DR22/$D22</f>
        <v>293.61514446173794</v>
      </c>
      <c r="DT22" s="43">
        <f>104+10</f>
        <v>114</v>
      </c>
      <c r="DU22" s="15">
        <f>0.00000491*DT22^3-0.00107023*DT22^2-0.03013591*DT22+15.74788397</f>
        <v>5.6780621900000021</v>
      </c>
      <c r="DV22" s="15">
        <f>$G$22/(DU22*1000)</f>
        <v>8.4075946727532151E-3</v>
      </c>
      <c r="DW22" s="15">
        <f>DU22</f>
        <v>5.6780621900000021</v>
      </c>
      <c r="DX22" s="15">
        <f>($I22/DW22)/1000</f>
        <v>3.9945826842219881E-3</v>
      </c>
      <c r="DY22" s="24">
        <f>DV22-DX22+$J22</f>
        <v>6.2963011988531228E-2</v>
      </c>
      <c r="DZ22" s="16">
        <f>DY22/$D22</f>
        <v>6.2963011988531228E-2</v>
      </c>
      <c r="EA22" s="14">
        <f>DV22*$Z$11</f>
        <v>24.091252666890295</v>
      </c>
      <c r="EB22" s="14">
        <f>DX22*$M22*$AA$7*$E$11</f>
        <v>5.2434036091146154</v>
      </c>
      <c r="EC22" s="14">
        <f>EA22-EB22+$K22</f>
        <v>294.61834905777567</v>
      </c>
      <c r="ED22" s="44">
        <f>EC22/$D22</f>
        <v>294.61834905777567</v>
      </c>
      <c r="EE22" s="43">
        <f>100+10</f>
        <v>110</v>
      </c>
      <c r="EF22" s="15">
        <f>0.00000491*EE22^3-0.00107023*EE22^2-0.03013591*EE22+15.74788397</f>
        <v>6.0183608700000022</v>
      </c>
      <c r="EG22" s="15">
        <f>$G$22/(EF22*1000)</f>
        <v>7.9322005528401386E-3</v>
      </c>
      <c r="EH22" s="15">
        <f>EF22</f>
        <v>6.0183608700000022</v>
      </c>
      <c r="EI22" s="15">
        <f>($I22/EH22)/1000</f>
        <v>3.7687153352952028E-3</v>
      </c>
      <c r="EJ22" s="24">
        <f>EG22-EI22+$J22</f>
        <v>6.271348521754494E-2</v>
      </c>
      <c r="EK22" s="16">
        <f>EJ22/$D22</f>
        <v>6.271348521754494E-2</v>
      </c>
      <c r="EL22" s="14">
        <f>EG22*$AA$11</f>
        <v>21.914719232863003</v>
      </c>
      <c r="EM22" s="14">
        <f>EI22*$M22*$AB$7*$E$11</f>
        <v>5.0246564463500345</v>
      </c>
      <c r="EN22" s="14">
        <f>EL22-EM22+$K22</f>
        <v>292.66056278651297</v>
      </c>
      <c r="EO22" s="44">
        <f>EN22/$D22</f>
        <v>292.66056278651297</v>
      </c>
      <c r="EP22" s="43">
        <f>101+10</f>
        <v>111</v>
      </c>
      <c r="EQ22" s="15">
        <f>0.00000491*EP22^3-0.00107023*EP22^2-0.03013591*EP22+15.74788397</f>
        <v>5.9315623400000028</v>
      </c>
      <c r="ER22" s="15">
        <f>$G$22/(EQ22*1000)</f>
        <v>8.0482750890561242E-3</v>
      </c>
      <c r="ES22" s="15">
        <f>EQ22</f>
        <v>5.9315623400000028</v>
      </c>
      <c r="ET22" s="15">
        <f>($I22/ES22)/1000</f>
        <v>3.8238642037284189E-3</v>
      </c>
      <c r="EU22" s="24">
        <f>ER22-ET22+$J22</f>
        <v>6.2774410885327703E-2</v>
      </c>
      <c r="EV22" s="16">
        <f>EU22/$D22</f>
        <v>6.2774410885327703E-2</v>
      </c>
      <c r="EW22" s="14">
        <f>ER22*$AB$11</f>
        <v>22.584797520802699</v>
      </c>
      <c r="EX22" s="14">
        <f>ET22*$M22*$AC$7*$E$11</f>
        <v>5.2155228902346247</v>
      </c>
      <c r="EY22" s="14">
        <f>EW22-EX22+$K22</f>
        <v>293.13977463056807</v>
      </c>
      <c r="EZ22" s="44">
        <f>EY22/$D22</f>
        <v>293.13977463056807</v>
      </c>
      <c r="FA22" s="43">
        <f>103+10</f>
        <v>113</v>
      </c>
      <c r="FB22" s="15">
        <f>0.00000491*FA22^3-0.00107023*FA22^2-0.03013591*FA22+15.74788397</f>
        <v>5.7613835400000024</v>
      </c>
      <c r="FC22" s="15">
        <f>$G$22/(FB22*1000)</f>
        <v>8.2860037157334362E-3</v>
      </c>
      <c r="FD22" s="15">
        <f>FB22</f>
        <v>5.7613835400000024</v>
      </c>
      <c r="FE22" s="15">
        <f>($I22/FD22)/1000</f>
        <v>3.9368128760456688E-3</v>
      </c>
      <c r="FF22" s="24">
        <f>FC22-FE22+$J22</f>
        <v>6.2899190839687771E-2</v>
      </c>
      <c r="FG22" s="16">
        <f>FF22/$D22</f>
        <v>6.2899190839687771E-2</v>
      </c>
      <c r="FH22" s="14">
        <f>FC22*$AC$11</f>
        <v>23.78706558081161</v>
      </c>
      <c r="FI22" s="14">
        <f>FE22*$M22*$AD$7*$E$11</f>
        <v>5.3108304069509993</v>
      </c>
      <c r="FJ22" s="14">
        <f>FH22-FI22+$K22</f>
        <v>294.2467351738606</v>
      </c>
      <c r="FK22" s="44">
        <f>FJ22/$D22</f>
        <v>294.2467351738606</v>
      </c>
      <c r="FL22" s="43">
        <f>113+10</f>
        <v>123</v>
      </c>
      <c r="FM22" s="15">
        <f>0.00000491*FL22^3-0.00107023*FL22^2-0.03013591*FL22+15.74788397</f>
        <v>4.9865143400000029</v>
      </c>
      <c r="FN22" s="15">
        <f>$G$22/(FM22*1000)</f>
        <v>9.5735903208503444E-3</v>
      </c>
      <c r="FO22" s="15">
        <f>FM22</f>
        <v>4.9865143400000029</v>
      </c>
      <c r="FP22" s="15">
        <f>($I22/FO22)/1000</f>
        <v>4.5485658633661078E-3</v>
      </c>
      <c r="FQ22" s="24">
        <f>FN22-FP22+$J22</f>
        <v>6.3575024457484239E-2</v>
      </c>
      <c r="FR22" s="16">
        <f>FQ22/$D22</f>
        <v>6.3575024457484239E-2</v>
      </c>
      <c r="FS22" s="14">
        <f>FN22*$AD$11</f>
        <v>27.182716195885192</v>
      </c>
      <c r="FT22" s="14">
        <f>FP22*$M22*$AE$7*$E$11</f>
        <v>6.7710908103516267</v>
      </c>
      <c r="FU22" s="14">
        <f>FS22-FT22+$K22</f>
        <v>296.18212538553354</v>
      </c>
      <c r="FV22" s="44">
        <f>FU22/$D22</f>
        <v>296.18212538553354</v>
      </c>
      <c r="FW22" s="43">
        <f>85+10</f>
        <v>95</v>
      </c>
      <c r="FX22" s="15">
        <f>0.00000491*FW22^3-0.00107023*FW22^2-0.03013591*FW22+15.74788397</f>
        <v>7.4358580200000013</v>
      </c>
      <c r="FY22" s="15">
        <f>$G$22/(FX22*1000)</f>
        <v>6.4200856568002989E-3</v>
      </c>
      <c r="FZ22" s="15">
        <f>FX22</f>
        <v>7.4358580200000013</v>
      </c>
      <c r="GA22" s="15">
        <f>($I22/FZ22)/1000</f>
        <v>3.0502853662756706E-3</v>
      </c>
      <c r="GB22" s="24">
        <f>FY22-GA22+$J22</f>
        <v>6.1919800290524629E-2</v>
      </c>
      <c r="GC22" s="16">
        <f>GB22/$D22</f>
        <v>6.1919800290524629E-2</v>
      </c>
      <c r="GD22" s="14">
        <f>FY22*$AE$11</f>
        <v>20.115244899391307</v>
      </c>
      <c r="GE22" s="14">
        <f>GA22*$M22*$AF$7*$E$11</f>
        <v>3.794961505853756</v>
      </c>
      <c r="GF22" s="14">
        <f>GD22-GE22+$K22</f>
        <v>292.09078339353755</v>
      </c>
      <c r="GG22" s="44">
        <f>GF22/$D22</f>
        <v>292.09078339353755</v>
      </c>
    </row>
    <row r="23" spans="2:202" ht="14.4" hidden="1" x14ac:dyDescent="0.3">
      <c r="B23" s="30" t="s">
        <v>114</v>
      </c>
      <c r="C23" s="3" t="s">
        <v>156</v>
      </c>
      <c r="D23" s="7"/>
      <c r="E23" s="7"/>
      <c r="F23" s="3"/>
      <c r="G23" s="3"/>
      <c r="H23" s="8"/>
      <c r="I23" s="12"/>
      <c r="J23" s="111"/>
      <c r="K23" s="108"/>
      <c r="L23" s="98"/>
      <c r="M23" s="97"/>
      <c r="N23" s="45"/>
      <c r="O23" s="22"/>
      <c r="P23" s="15"/>
      <c r="Q23" s="22"/>
      <c r="R23" s="15"/>
      <c r="S23" s="24"/>
      <c r="T23" s="16"/>
      <c r="U23" s="14"/>
      <c r="V23" s="14"/>
      <c r="W23" s="14"/>
      <c r="X23" s="44"/>
      <c r="Y23" s="45"/>
      <c r="Z23" s="22"/>
      <c r="AA23" s="15"/>
      <c r="AB23" s="22"/>
      <c r="AC23" s="15"/>
      <c r="AD23" s="24"/>
      <c r="AE23" s="16"/>
      <c r="AF23" s="14"/>
      <c r="AG23" s="14"/>
      <c r="AH23" s="14"/>
      <c r="AI23" s="44"/>
      <c r="AJ23" s="45"/>
      <c r="AK23" s="22"/>
      <c r="AL23" s="15"/>
      <c r="AM23" s="22"/>
      <c r="AN23" s="15"/>
      <c r="AO23" s="24"/>
      <c r="AP23" s="16"/>
      <c r="AQ23" s="14"/>
      <c r="AR23" s="14"/>
      <c r="AS23" s="14"/>
      <c r="AT23" s="44"/>
      <c r="AU23" s="45"/>
      <c r="AV23" s="22"/>
      <c r="AW23" s="178"/>
      <c r="AX23" s="22"/>
      <c r="AY23" s="15"/>
      <c r="AZ23" s="24"/>
      <c r="BA23" s="16"/>
      <c r="BB23" s="14"/>
      <c r="BC23" s="14"/>
      <c r="BD23" s="14"/>
      <c r="BE23" s="44"/>
      <c r="BF23" s="45"/>
      <c r="BG23" s="22"/>
      <c r="BH23" s="15"/>
      <c r="BI23" s="22"/>
      <c r="BJ23" s="15"/>
      <c r="BK23" s="24"/>
      <c r="BL23" s="16"/>
      <c r="BM23" s="14"/>
      <c r="BN23" s="14"/>
      <c r="BO23" s="14"/>
      <c r="BP23" s="44"/>
      <c r="BQ23" s="45"/>
      <c r="BR23" s="22"/>
      <c r="BS23" s="15"/>
      <c r="BT23" s="22"/>
      <c r="BU23" s="15"/>
      <c r="BV23" s="24"/>
      <c r="BW23" s="16"/>
      <c r="BX23" s="14"/>
      <c r="BY23" s="14"/>
      <c r="BZ23" s="14"/>
      <c r="CA23" s="44"/>
      <c r="CB23" s="45"/>
      <c r="CC23" s="22"/>
      <c r="CD23" s="15"/>
      <c r="CE23" s="22"/>
      <c r="CF23" s="15"/>
      <c r="CG23" s="24"/>
      <c r="CH23" s="16"/>
      <c r="CI23" s="14"/>
      <c r="CJ23" s="14"/>
      <c r="CK23" s="14"/>
      <c r="CL23" s="44"/>
      <c r="CM23" s="45"/>
      <c r="CN23" s="22"/>
      <c r="CO23" s="15"/>
      <c r="CP23" s="22"/>
      <c r="CQ23" s="15"/>
      <c r="CR23" s="24"/>
      <c r="CS23" s="16"/>
      <c r="CT23" s="14"/>
      <c r="CU23" s="14"/>
      <c r="CV23" s="14"/>
      <c r="CW23" s="44"/>
      <c r="CX23" s="45"/>
      <c r="CY23" s="22"/>
      <c r="CZ23" s="15"/>
      <c r="DA23" s="22"/>
      <c r="DB23" s="15"/>
      <c r="DC23" s="24"/>
      <c r="DD23" s="16"/>
      <c r="DE23" s="14"/>
      <c r="DF23" s="14"/>
      <c r="DG23" s="14"/>
      <c r="DH23" s="44"/>
      <c r="DI23" s="45"/>
      <c r="DJ23" s="22"/>
      <c r="DK23" s="15"/>
      <c r="DL23" s="22"/>
      <c r="DM23" s="15"/>
      <c r="DN23" s="24"/>
      <c r="DO23" s="16"/>
      <c r="DP23" s="14"/>
      <c r="DQ23" s="14"/>
      <c r="DR23" s="14"/>
      <c r="DS23" s="44"/>
      <c r="DT23" s="45"/>
      <c r="DU23" s="22"/>
      <c r="DV23" s="15"/>
      <c r="DW23" s="22"/>
      <c r="DX23" s="15"/>
      <c r="DY23" s="24"/>
      <c r="DZ23" s="16"/>
      <c r="EA23" s="14"/>
      <c r="EB23" s="14"/>
      <c r="EC23" s="14"/>
      <c r="ED23" s="44"/>
      <c r="EE23" s="45"/>
      <c r="EF23" s="22"/>
      <c r="EG23" s="15"/>
      <c r="EH23" s="22"/>
      <c r="EI23" s="15"/>
      <c r="EJ23" s="24"/>
      <c r="EK23" s="16"/>
      <c r="EL23" s="14"/>
      <c r="EM23" s="14"/>
      <c r="EN23" s="14"/>
      <c r="EO23" s="44"/>
      <c r="EP23" s="45"/>
      <c r="EQ23" s="22"/>
      <c r="ER23" s="15"/>
      <c r="ES23" s="22"/>
      <c r="ET23" s="15"/>
      <c r="EU23" s="24"/>
      <c r="EV23" s="16"/>
      <c r="EW23" s="14"/>
      <c r="EX23" s="14"/>
      <c r="EY23" s="14"/>
      <c r="EZ23" s="44"/>
      <c r="FA23" s="45"/>
      <c r="FB23" s="22"/>
      <c r="FC23" s="15"/>
      <c r="FD23" s="22"/>
      <c r="FE23" s="15"/>
      <c r="FF23" s="24"/>
      <c r="FG23" s="16"/>
      <c r="FH23" s="14"/>
      <c r="FI23" s="14"/>
      <c r="FJ23" s="14"/>
      <c r="FK23" s="44"/>
      <c r="FL23" s="45"/>
      <c r="FM23" s="22"/>
      <c r="FN23" s="15"/>
      <c r="FO23" s="22"/>
      <c r="FP23" s="15"/>
      <c r="FQ23" s="24"/>
      <c r="FR23" s="16"/>
      <c r="FS23" s="14"/>
      <c r="FT23" s="14"/>
      <c r="FU23" s="14"/>
      <c r="FV23" s="44"/>
      <c r="FW23" s="45"/>
      <c r="FX23" s="22"/>
      <c r="FY23" s="15"/>
      <c r="FZ23" s="22"/>
      <c r="GA23" s="15"/>
      <c r="GB23" s="24"/>
      <c r="GC23" s="16"/>
      <c r="GD23" s="14"/>
      <c r="GE23" s="14"/>
      <c r="GF23" s="14"/>
      <c r="GG23" s="44"/>
      <c r="GH23" s="1" t="s">
        <v>0</v>
      </c>
      <c r="GI23" s="61" t="e">
        <f>#REF!</f>
        <v>#REF!</v>
      </c>
      <c r="GJ23" s="62" t="e">
        <f>#REF!</f>
        <v>#REF!</v>
      </c>
      <c r="GK23" s="61" t="e">
        <f>#REF!</f>
        <v>#REF!</v>
      </c>
      <c r="GL23" s="62" t="e">
        <f>#REF!</f>
        <v>#REF!</v>
      </c>
      <c r="GM23" s="61" t="e">
        <f>#REF!</f>
        <v>#REF!</v>
      </c>
      <c r="GN23" s="62" t="e">
        <f>#REF!</f>
        <v>#REF!</v>
      </c>
      <c r="GO23" s="61" t="e">
        <f>#REF!</f>
        <v>#REF!</v>
      </c>
      <c r="GP23" s="62" t="e">
        <f>#REF!</f>
        <v>#REF!</v>
      </c>
      <c r="GQ23" s="61" t="e">
        <f>#REF!</f>
        <v>#REF!</v>
      </c>
      <c r="GR23" s="62" t="e">
        <f>#REF!</f>
        <v>#REF!</v>
      </c>
      <c r="GS23" s="61" t="e">
        <f>#REF!</f>
        <v>#REF!</v>
      </c>
      <c r="GT23" s="62" t="e">
        <f>#REF!</f>
        <v>#REF!</v>
      </c>
    </row>
    <row r="24" spans="2:202" ht="13.8" x14ac:dyDescent="0.25">
      <c r="B24" s="167" t="s">
        <v>146</v>
      </c>
      <c r="C24" s="3" t="s">
        <v>156</v>
      </c>
      <c r="D24" s="3">
        <v>1</v>
      </c>
      <c r="E24" s="3">
        <v>38</v>
      </c>
      <c r="F24" s="3">
        <f>E24-10</f>
        <v>28</v>
      </c>
      <c r="G24" s="11">
        <f>'Cooling Load'!$D$33</f>
        <v>73.219369520547943</v>
      </c>
      <c r="H24" s="14">
        <f>G24*1.15</f>
        <v>84.202274948630134</v>
      </c>
      <c r="I24" s="14">
        <f>'Cooling Load'!$H$33</f>
        <v>22.681488904109589</v>
      </c>
      <c r="J24" s="110">
        <f>'Cooling Load'!H20</f>
        <v>4.1550000000000004E-2</v>
      </c>
      <c r="K24" s="109">
        <f>'Cooling Load'!H26</f>
        <v>195.70050000000003</v>
      </c>
      <c r="L24" s="98">
        <f>I24/H24</f>
        <v>0.2693690748610657</v>
      </c>
      <c r="M24" s="97">
        <f>(1-(1-L24))*(1-$D$8)</f>
        <v>0.25590062111801248</v>
      </c>
      <c r="N24" s="43">
        <f>69+15</f>
        <v>84</v>
      </c>
      <c r="O24" s="15">
        <f>-0.00002515*N24^3+0.0100767*N24^2-1.45844836*N24+82.96962576</f>
        <v>16.654653119999992</v>
      </c>
      <c r="P24" s="15">
        <f>$G$24/(O24*1000)</f>
        <v>4.3963311029649342E-3</v>
      </c>
      <c r="Q24" s="15">
        <f>O24</f>
        <v>16.654653119999992</v>
      </c>
      <c r="R24" s="15">
        <f>($I24/Q24)/1000</f>
        <v>1.3618709882868819E-3</v>
      </c>
      <c r="S24" s="24">
        <f>P24-R24+$J24</f>
        <v>4.4584460114678058E-2</v>
      </c>
      <c r="T24" s="16">
        <f>S24/$D24</f>
        <v>4.4584460114678058E-2</v>
      </c>
      <c r="U24" s="14">
        <f>P24*$Q$10</f>
        <v>12.702374065586795</v>
      </c>
      <c r="V24" s="14">
        <f>R24*$M24*$Q$7*$D$11</f>
        <v>1.2189223717502209</v>
      </c>
      <c r="W24" s="14">
        <f>U24-V24+$K24</f>
        <v>207.1839516938366</v>
      </c>
      <c r="X24" s="44">
        <f>W24/$D24</f>
        <v>207.1839516938366</v>
      </c>
      <c r="Y24" s="43">
        <f>96+15</f>
        <v>111</v>
      </c>
      <c r="Z24" s="15">
        <f>-0.00002515*Y24^3+0.0100767*Y24^2-1.45844836*Y24+82.96962576</f>
        <v>10.840958850000007</v>
      </c>
      <c r="AA24" s="15">
        <f>$G$24/(Z24*1000)</f>
        <v>6.7539569639218679E-3</v>
      </c>
      <c r="AB24" s="15">
        <f>Z24</f>
        <v>10.840958850000007</v>
      </c>
      <c r="AC24" s="15">
        <f>($I24/AB24)/1000</f>
        <v>2.0922032098765484E-3</v>
      </c>
      <c r="AD24" s="24">
        <f>AA24-AC24+$J24</f>
        <v>4.621175375404532E-2</v>
      </c>
      <c r="AE24" s="16">
        <f>AD24/$D24</f>
        <v>4.621175375404532E-2</v>
      </c>
      <c r="AF24" s="14">
        <f>AA24*$R$10</f>
        <v>19.657083876806762</v>
      </c>
      <c r="AG24" s="14">
        <f>AC24*$M24*$R$7*$D$11</f>
        <v>1.8862977249051316</v>
      </c>
      <c r="AH24" s="14">
        <f>AF24-AG24+$K24</f>
        <v>213.47128615190167</v>
      </c>
      <c r="AI24" s="44">
        <f>AH24/$D24</f>
        <v>213.47128615190167</v>
      </c>
      <c r="AJ24" s="43">
        <f>89+15</f>
        <v>104</v>
      </c>
      <c r="AK24" s="15">
        <f>-0.00002515*AJ24^3+0.0100767*AJ24^2-1.45844836*AJ24+82.96962576</f>
        <v>11.990253919999972</v>
      </c>
      <c r="AL24" s="15">
        <f>$G$24/(AK24*1000)</f>
        <v>6.1065737230482364E-3</v>
      </c>
      <c r="AM24" s="15">
        <f>AK24</f>
        <v>11.990253919999972</v>
      </c>
      <c r="AN24" s="15">
        <f>($I24/AM24)/1000</f>
        <v>1.8916604315006569E-3</v>
      </c>
      <c r="AO24" s="24">
        <f>AL24-AN24+$J24</f>
        <v>4.5764913291547582E-2</v>
      </c>
      <c r="AP24" s="16">
        <f>AO24/$D24</f>
        <v>4.5764913291547582E-2</v>
      </c>
      <c r="AQ24" s="14">
        <f>AL24*$Q$10</f>
        <v>17.643799311869167</v>
      </c>
      <c r="AR24" s="14">
        <f>AN24*$M24*$S$7*$D$11</f>
        <v>1.7338566200484471</v>
      </c>
      <c r="AS24" s="14">
        <f>AQ24-AR24+$K24</f>
        <v>211.61044269182077</v>
      </c>
      <c r="AT24" s="44">
        <f>AS24/$D24</f>
        <v>211.61044269182077</v>
      </c>
      <c r="AU24" s="43">
        <f>88+15</f>
        <v>103</v>
      </c>
      <c r="AV24" s="15">
        <f>-0.00002515*AU24^3+0.0100767*AU24^2-1.45844836*AU24+82.96962576</f>
        <v>12.171070929999985</v>
      </c>
      <c r="AW24" s="178">
        <f>$G$24/(AV24*1000)</f>
        <v>6.0158526674980138E-3</v>
      </c>
      <c r="AX24" s="15">
        <f>AV24</f>
        <v>12.171070929999985</v>
      </c>
      <c r="AY24" s="15">
        <f>($I24/AX24)/1000</f>
        <v>1.8635573676760767E-3</v>
      </c>
      <c r="AZ24" s="24">
        <f>AW24-AY24+$J24</f>
        <v>4.5702295299821942E-2</v>
      </c>
      <c r="BA24" s="16">
        <f>AZ24/$D24</f>
        <v>4.5702295299821942E-2</v>
      </c>
      <c r="BB24" s="14">
        <f>AW24*$S$10</f>
        <v>17.800066212109407</v>
      </c>
      <c r="BC24" s="14">
        <f>AY24*$M24*$T$7*$D$11</f>
        <v>1.7490851270744905</v>
      </c>
      <c r="BD24" s="14">
        <f>BB24-BC24+$K24</f>
        <v>211.75148108503495</v>
      </c>
      <c r="BE24" s="44">
        <f>BD24/$D24</f>
        <v>211.75148108503495</v>
      </c>
      <c r="BF24" s="43">
        <f>83+15</f>
        <v>98</v>
      </c>
      <c r="BG24" s="15">
        <f>-0.00002515*BF24^3+0.0100767*BF24^2-1.45844836*BF24+82.96962576</f>
        <v>13.147334479999984</v>
      </c>
      <c r="BH24" s="15">
        <f>$G$24/(BG24*1000)</f>
        <v>5.5691417626843581E-3</v>
      </c>
      <c r="BI24" s="15">
        <f>BG24</f>
        <v>13.147334479999984</v>
      </c>
      <c r="BJ24" s="15">
        <f>($I24/BI24)/1000</f>
        <v>1.7251777490420717E-3</v>
      </c>
      <c r="BK24" s="24">
        <f>BH24-BJ24+$J24</f>
        <v>4.5393964013642291E-2</v>
      </c>
      <c r="BL24" s="16">
        <f>BK24/$D24</f>
        <v>4.5393964013642291E-2</v>
      </c>
      <c r="BM24" s="14">
        <f>BH24*$T$10</f>
        <v>16.873721554679673</v>
      </c>
      <c r="BN24" s="14">
        <f>BJ24*$M24*$U$7*$D$11</f>
        <v>1.5857697605003194</v>
      </c>
      <c r="BO24" s="14">
        <f>BM24-BN24+$K24</f>
        <v>210.98845179417938</v>
      </c>
      <c r="BP24" s="44">
        <f>BO24/$D24</f>
        <v>210.98845179417938</v>
      </c>
      <c r="BQ24" s="43">
        <f>86+15</f>
        <v>101</v>
      </c>
      <c r="BR24" s="15">
        <f>-0.00002515*BQ24^3+0.0100767*BQ24^2-1.45844836*BQ24+82.96962576</f>
        <v>12.546687949999992</v>
      </c>
      <c r="BS24" s="15">
        <f>$G$24/(BR24*1000)</f>
        <v>5.835752814793484E-3</v>
      </c>
      <c r="BT24" s="15">
        <f>BR24</f>
        <v>12.546687949999992</v>
      </c>
      <c r="BU24" s="15">
        <f>($I24/BT24)/1000</f>
        <v>1.8077670373645982E-3</v>
      </c>
      <c r="BV24" s="24">
        <f>BS24-BU24+$J24</f>
        <v>4.5577985777428887E-2</v>
      </c>
      <c r="BW24" s="16">
        <f>BV24/$D24</f>
        <v>4.5577985777428887E-2</v>
      </c>
      <c r="BX24" s="14">
        <f>BS24*$U$10</f>
        <v>17.316399509980123</v>
      </c>
      <c r="BY24" s="14">
        <f>BU24*$M24*$V$7*$D$11</f>
        <v>1.7191294003346158</v>
      </c>
      <c r="BZ24" s="14">
        <f>BX24-BY24+$K24</f>
        <v>211.29777010964554</v>
      </c>
      <c r="CA24" s="44">
        <f>BZ24/$D24</f>
        <v>211.29777010964554</v>
      </c>
      <c r="CB24" s="43">
        <f>83+15</f>
        <v>98</v>
      </c>
      <c r="CC24" s="15">
        <f>-0.00002515*CB24^3+0.0100767*CB24^2-1.45844836*CB24+82.96962576</f>
        <v>13.147334479999984</v>
      </c>
      <c r="CD24" s="15">
        <f>$G$24/(CC24*1000)</f>
        <v>5.5691417626843581E-3</v>
      </c>
      <c r="CE24" s="15">
        <f>CC24</f>
        <v>13.147334479999984</v>
      </c>
      <c r="CF24" s="15">
        <f>($I24/CE24)/1000</f>
        <v>1.7251777490420717E-3</v>
      </c>
      <c r="CG24" s="24">
        <f>CD24-CF24+$J24</f>
        <v>4.5393964013642291E-2</v>
      </c>
      <c r="CH24" s="16">
        <f>CG24/$D24</f>
        <v>4.5393964013642291E-2</v>
      </c>
      <c r="CI24" s="14">
        <f>CD24*$V$10</f>
        <v>17.096562659924928</v>
      </c>
      <c r="CJ24" s="14">
        <f>CF24*$M24*$W$7*$D$11</f>
        <v>1.657778890962736</v>
      </c>
      <c r="CK24" s="14">
        <f>CI24-CJ24+$K24</f>
        <v>211.13928376896223</v>
      </c>
      <c r="CL24" s="44">
        <f>CK24/$D24</f>
        <v>211.13928376896223</v>
      </c>
      <c r="CM24" s="43">
        <f>94+15</f>
        <v>109</v>
      </c>
      <c r="CN24" s="15">
        <f>-0.00002515*CM24^3+0.0100767*CM24^2-1.45844836*CM24+82.96962576</f>
        <v>11.150047869999966</v>
      </c>
      <c r="CO24" s="15">
        <f>$G$24/(CN24*1000)</f>
        <v>6.5667314054812364E-3</v>
      </c>
      <c r="CP24" s="15">
        <f>CN24</f>
        <v>11.150047869999966</v>
      </c>
      <c r="CQ24" s="15">
        <f>($I24/CP24)/1000</f>
        <v>2.0342055180889241E-3</v>
      </c>
      <c r="CR24" s="24">
        <f>CO24-CQ24+$J24</f>
        <v>4.6082525887392319E-2</v>
      </c>
      <c r="CS24" s="16">
        <f>CR24/$D24</f>
        <v>4.6082525887392319E-2</v>
      </c>
      <c r="CT24" s="14">
        <f>CO24*$W$10</f>
        <v>20.370253571234059</v>
      </c>
      <c r="CU24" s="14">
        <f>CQ24*$M24*$X$7*$D$11</f>
        <v>1.946164759915791</v>
      </c>
      <c r="CV24" s="14">
        <f>CT24-CU24+$K24</f>
        <v>214.12458881131829</v>
      </c>
      <c r="CW24" s="44">
        <f>CV24/$D24</f>
        <v>214.12458881131829</v>
      </c>
      <c r="CX24" s="43">
        <f>96+15</f>
        <v>111</v>
      </c>
      <c r="CY24" s="15">
        <f>-0.00002515*CX24^3+0.0100767*CX24^2-1.45844836*CX24+82.96962576</f>
        <v>10.840958850000007</v>
      </c>
      <c r="CZ24" s="15">
        <f>$G$24/(CY24*1000)</f>
        <v>6.7539569639218679E-3</v>
      </c>
      <c r="DA24" s="15">
        <f>CY24</f>
        <v>10.840958850000007</v>
      </c>
      <c r="DB24" s="15">
        <f>($I24/DA24)/1000</f>
        <v>2.0922032098765484E-3</v>
      </c>
      <c r="DC24" s="24">
        <f>CZ24-DB24+$J24</f>
        <v>4.621175375404532E-2</v>
      </c>
      <c r="DD24" s="16">
        <f>DC24/$D24</f>
        <v>4.621175375404532E-2</v>
      </c>
      <c r="DE24" s="14">
        <f>CZ24*$X$10</f>
        <v>20.859192411383724</v>
      </c>
      <c r="DF24" s="14">
        <f>DB24*$M24*$Y$7*$D$11</f>
        <v>1.9815259700355179</v>
      </c>
      <c r="DG24" s="14">
        <f>DE24-DF24+$K24</f>
        <v>214.57816644134823</v>
      </c>
      <c r="DH24" s="44">
        <f>DG24/$D24</f>
        <v>214.57816644134823</v>
      </c>
      <c r="DI24" s="43">
        <f>100+15</f>
        <v>115</v>
      </c>
      <c r="DJ24" s="15">
        <f>-0.00002515*DI24^3+0.0100767*DI24^2-1.45844836*DI24+82.96962576</f>
        <v>10.262415609999962</v>
      </c>
      <c r="DK24" s="15">
        <f>$G$24/(DJ24*1000)</f>
        <v>7.1347109981787435E-3</v>
      </c>
      <c r="DL24" s="15">
        <f>DJ24</f>
        <v>10.262415609999962</v>
      </c>
      <c r="DM24" s="15">
        <f>($I24/DL24)/1000</f>
        <v>2.2101510761275501E-3</v>
      </c>
      <c r="DN24" s="24">
        <f>DK24-DM24+$J24</f>
        <v>4.6474559922051198E-2</v>
      </c>
      <c r="DO24" s="16">
        <f>DN24/$D24</f>
        <v>4.6474559922051198E-2</v>
      </c>
      <c r="DP24" s="14">
        <f>DK24*$Y$10</f>
        <v>21.813568377926472</v>
      </c>
      <c r="DQ24" s="14">
        <f>DM24*$M24*$Z$7*$D$11</f>
        <v>2.0707909018364559</v>
      </c>
      <c r="DR24" s="14">
        <f>DP24-DQ24+$K24</f>
        <v>215.44327747609006</v>
      </c>
      <c r="DS24" s="44">
        <f>DR24/$D24</f>
        <v>215.44327747609006</v>
      </c>
      <c r="DT24" s="43">
        <f>104+15</f>
        <v>119</v>
      </c>
      <c r="DU24" s="15">
        <f>-0.00002515*DT24^3+0.0100767*DT24^2-1.45844836*DT24+82.96962576</f>
        <v>9.7286707699999653</v>
      </c>
      <c r="DV24" s="15">
        <f>$G$24/(DU24*1000)</f>
        <v>7.5261432164332766E-3</v>
      </c>
      <c r="DW24" s="15">
        <f>DU24</f>
        <v>9.7286707699999653</v>
      </c>
      <c r="DX24" s="15">
        <f>($I24/DW24)/1000</f>
        <v>2.331406770804895E-3</v>
      </c>
      <c r="DY24" s="24">
        <f>DV24-DX24+$J24</f>
        <v>4.6744736445628383E-2</v>
      </c>
      <c r="DZ24" s="16">
        <f>DY24/$D24</f>
        <v>4.6744736445628383E-2</v>
      </c>
      <c r="EA24" s="14">
        <f>DV24*$Z$10</f>
        <v>22.76361282691672</v>
      </c>
      <c r="EB24" s="14">
        <f>DX24*$M24*$AA$7*$D$11</f>
        <v>2.106138607077964</v>
      </c>
      <c r="EC24" s="14">
        <f>EA24-EB24+$K24</f>
        <v>216.35797421983878</v>
      </c>
      <c r="ED24" s="44">
        <f>EC24/$D24</f>
        <v>216.35797421983878</v>
      </c>
      <c r="EE24" s="43">
        <f>100+15</f>
        <v>115</v>
      </c>
      <c r="EF24" s="15">
        <f>-0.00002515*EE24^3+0.0100767*EE24^2-1.45844836*EE24+82.96962576</f>
        <v>10.262415609999962</v>
      </c>
      <c r="EG24" s="15">
        <f>$G$24/(EF24*1000)</f>
        <v>7.1347109981787435E-3</v>
      </c>
      <c r="EH24" s="15">
        <f>EF24</f>
        <v>10.262415609999962</v>
      </c>
      <c r="EI24" s="15">
        <f>($I24/EH24)/1000</f>
        <v>2.2101510761275501E-3</v>
      </c>
      <c r="EJ24" s="24">
        <f>EG24-EI24+$J24</f>
        <v>4.6474559922051198E-2</v>
      </c>
      <c r="EK24" s="16">
        <f>EJ24/$D24</f>
        <v>4.6474559922051198E-2</v>
      </c>
      <c r="EL24" s="14">
        <f>EG24*$AA$10</f>
        <v>20.806532384689959</v>
      </c>
      <c r="EM24" s="14">
        <f>EI24*$M24*$AB$7*$D$11</f>
        <v>2.0279723122041813</v>
      </c>
      <c r="EN24" s="14">
        <f>EL24-EM24+$K24</f>
        <v>214.47906007248582</v>
      </c>
      <c r="EO24" s="44">
        <f>EN24/$D24</f>
        <v>214.47906007248582</v>
      </c>
      <c r="EP24" s="43">
        <f>101+15</f>
        <v>116</v>
      </c>
      <c r="EQ24" s="15">
        <f>-0.00002515*EP24^3+0.0100767*EP24^2-1.45844836*EP24+82.96962576</f>
        <v>10.125156799999999</v>
      </c>
      <c r="ER24" s="15">
        <f>$G$23/(EQ24*1000)</f>
        <v>0</v>
      </c>
      <c r="ES24" s="15">
        <f>EQ24</f>
        <v>10.125156799999999</v>
      </c>
      <c r="ET24" s="15">
        <f>($I24/ES24)/1000</f>
        <v>2.2401123609374217E-3</v>
      </c>
      <c r="EU24" s="24">
        <f>ER24-ET24+$J24</f>
        <v>3.9309887639062582E-2</v>
      </c>
      <c r="EV24" s="16">
        <f>EU24/$D24</f>
        <v>3.9309887639062582E-2</v>
      </c>
      <c r="EW24" s="14">
        <f>ER24*$AB$10</f>
        <v>0</v>
      </c>
      <c r="EX24" s="14">
        <f>ET24*$M24*$AC$7*$D$11</f>
        <v>2.1027721655238589</v>
      </c>
      <c r="EY24" s="14">
        <f>EW24-EX24+$K24</f>
        <v>193.59772783447619</v>
      </c>
      <c r="EZ24" s="44">
        <f>EY24/$D24</f>
        <v>193.59772783447619</v>
      </c>
      <c r="FA24" s="43">
        <f>103+15</f>
        <v>118</v>
      </c>
      <c r="FB24" s="15">
        <f>-0.00002515*FA24^3+0.0100767*FA24^2-1.45844836*FA24+82.96962576</f>
        <v>9.8584352799999948</v>
      </c>
      <c r="FC24" s="15">
        <f>$G$24/(FB24*1000)</f>
        <v>7.4270781762993919E-3</v>
      </c>
      <c r="FD24" s="15">
        <f>FB24</f>
        <v>9.8584352799999948</v>
      </c>
      <c r="FE24" s="15">
        <f>($I24/FD24)/1000</f>
        <v>2.3007189538611652E-3</v>
      </c>
      <c r="FF24" s="24">
        <f>FC24-FE24+$J24</f>
        <v>4.6676359222438228E-2</v>
      </c>
      <c r="FG24" s="16">
        <f>FF24/$D24</f>
        <v>4.6676359222438228E-2</v>
      </c>
      <c r="FH24" s="14">
        <f>FC24*$AC$10</f>
        <v>22.505819804182615</v>
      </c>
      <c r="FI24" s="14">
        <f>FE24*$M24*$AD$7*$D$11</f>
        <v>2.1360344521051258</v>
      </c>
      <c r="FJ24" s="14">
        <f>FH24-FI24+$K24</f>
        <v>216.07028535207752</v>
      </c>
      <c r="FK24" s="44">
        <f>FJ24/$D24</f>
        <v>216.07028535207752</v>
      </c>
      <c r="FL24" s="43">
        <f>113+15</f>
        <v>128</v>
      </c>
      <c r="FM24" s="15">
        <f>-0.00002515*FL24^3+0.0100767*FL24^2-1.45844836*FL24+82.96962576</f>
        <v>8.6415156799999835</v>
      </c>
      <c r="FN24" s="15">
        <f>$G$24/(FM24*1000)</f>
        <v>8.4729776849225228E-3</v>
      </c>
      <c r="FO24" s="15">
        <f>FM24</f>
        <v>8.6415156799999835</v>
      </c>
      <c r="FP24" s="15">
        <f>($I24/FO24)/1000</f>
        <v>2.6247118843519398E-3</v>
      </c>
      <c r="FQ24" s="24">
        <f>FN24-FP24+$J24</f>
        <v>4.7398265800570584E-2</v>
      </c>
      <c r="FR24" s="16">
        <f>FQ24/$D24</f>
        <v>4.7398265800570584E-2</v>
      </c>
      <c r="FS24" s="14">
        <f>FN24*$AD$10</f>
        <v>25.394237111699606</v>
      </c>
      <c r="FT24" s="14">
        <f>FP24*$M24*$AE$7*$D$11</f>
        <v>2.6890124347510769</v>
      </c>
      <c r="FU24" s="14">
        <f>FS24-FT24+$K24</f>
        <v>218.40572467694855</v>
      </c>
      <c r="FV24" s="44">
        <f>FU24/$D24</f>
        <v>218.40572467694855</v>
      </c>
      <c r="FW24" s="43">
        <f>85+15</f>
        <v>100</v>
      </c>
      <c r="FX24" s="15">
        <f>-0.00002515*FW24^3+0.0100767*FW24^2-1.45844836*FW24+82.96962576</f>
        <v>12.741789760000003</v>
      </c>
      <c r="FY24" s="15">
        <f>$G$24/(FX24*1000)</f>
        <v>5.7463959851545947E-3</v>
      </c>
      <c r="FZ24" s="15">
        <f>FX24</f>
        <v>12.741789760000003</v>
      </c>
      <c r="GA24" s="15">
        <f>($I24/FZ24)/1000</f>
        <v>1.7800865758524007E-3</v>
      </c>
      <c r="GB24" s="24">
        <f>FY24-GA24+$J24</f>
        <v>4.5516309409302194E-2</v>
      </c>
      <c r="GC24" s="16">
        <f>GB24/$D24</f>
        <v>4.5516309409302194E-2</v>
      </c>
      <c r="GD24" s="14">
        <f>FY24*$AE$10</f>
        <v>19.004705661076606</v>
      </c>
      <c r="GE24" s="14">
        <f>GA24*$M24*$AF$7*$D$11</f>
        <v>1.5241757618879681</v>
      </c>
      <c r="GF24" s="14">
        <f>GD24-GE24+$K24</f>
        <v>213.18102989918867</v>
      </c>
      <c r="GG24" s="44">
        <f>GF24/$D24</f>
        <v>213.18102989918867</v>
      </c>
    </row>
    <row r="25" spans="2:202" ht="13.8" x14ac:dyDescent="0.25">
      <c r="B25" s="167" t="s">
        <v>147</v>
      </c>
      <c r="C25" s="3" t="s">
        <v>156</v>
      </c>
      <c r="D25" s="3">
        <v>1</v>
      </c>
      <c r="E25" s="3">
        <v>0</v>
      </c>
      <c r="F25" s="3">
        <f>E25-10</f>
        <v>-10</v>
      </c>
      <c r="G25" s="11">
        <f>'Cooling Load'!$D$33</f>
        <v>73.219369520547943</v>
      </c>
      <c r="H25" s="14">
        <f>G25*1.15</f>
        <v>84.202274948630134</v>
      </c>
      <c r="I25" s="14">
        <f>'Cooling Load'!$H$33</f>
        <v>22.681488904109589</v>
      </c>
      <c r="J25" s="110">
        <f>'Cooling Load'!H20</f>
        <v>4.1550000000000004E-2</v>
      </c>
      <c r="K25" s="109">
        <f>'Cooling Load'!H26</f>
        <v>195.70050000000003</v>
      </c>
      <c r="L25" s="98">
        <f>I25/H25</f>
        <v>0.2693690748610657</v>
      </c>
      <c r="M25" s="97">
        <f>(1-(1-L25))*(1-$E$8)</f>
        <v>0.24243216737495918</v>
      </c>
      <c r="N25" s="43">
        <f>69+10</f>
        <v>79</v>
      </c>
      <c r="O25" s="15">
        <f>0.00000491*N25^3-0.00107023*N25^2-0.03013591*N25+15.74788397</f>
        <v>9.1086631400000009</v>
      </c>
      <c r="P25" s="15">
        <f>$G$25/(O25*1000)</f>
        <v>8.0384320284071827E-3</v>
      </c>
      <c r="Q25" s="15">
        <f>O25</f>
        <v>9.1086631400000009</v>
      </c>
      <c r="R25" s="15">
        <f>($I25/Q25)/1000</f>
        <v>2.4901007486494427E-3</v>
      </c>
      <c r="S25" s="24">
        <f>P25-R25+$J25</f>
        <v>4.7098331279757745E-2</v>
      </c>
      <c r="T25" s="16">
        <f>S25/$D25</f>
        <v>4.7098331279757745E-2</v>
      </c>
      <c r="U25" s="14">
        <f>P25*$Q$11</f>
        <v>22.003144588853221</v>
      </c>
      <c r="V25" s="14">
        <f>R25*$M25*$Q$7*$E$11</f>
        <v>2.1114261829895984</v>
      </c>
      <c r="W25" s="14">
        <f>U25-V25+$K25</f>
        <v>215.59221840586366</v>
      </c>
      <c r="X25" s="44">
        <f>W25/$D25</f>
        <v>215.59221840586366</v>
      </c>
      <c r="Y25" s="43">
        <f>96+10</f>
        <v>106</v>
      </c>
      <c r="Z25" s="15">
        <f>0.00000491*Y25^3-0.00107023*Y25^2-0.03013591*Y25+15.74788397</f>
        <v>6.3762617900000009</v>
      </c>
      <c r="AA25" s="15">
        <f>$G$25/(Z25*1000)</f>
        <v>1.1483118468469899E-2</v>
      </c>
      <c r="AB25" s="15">
        <f>Z25</f>
        <v>6.3762617900000009</v>
      </c>
      <c r="AC25" s="15">
        <f>($I25/AB25)/1000</f>
        <v>3.5571765481275173E-3</v>
      </c>
      <c r="AD25" s="24">
        <f>AA25-AC25+$J25</f>
        <v>4.9475941920342381E-2</v>
      </c>
      <c r="AE25" s="16">
        <f>AD25/$D25</f>
        <v>4.9475941920342381E-2</v>
      </c>
      <c r="AF25" s="14">
        <f>AA25*$R$11</f>
        <v>31.662087978010216</v>
      </c>
      <c r="AG25" s="14">
        <f>AC25*$M25*$R$7*$E$11</f>
        <v>3.0383003345239223</v>
      </c>
      <c r="AH25" s="14">
        <f>AF25-AG25+$K25</f>
        <v>224.32428764348634</v>
      </c>
      <c r="AI25" s="44">
        <f>AH25/$D25</f>
        <v>224.32428764348634</v>
      </c>
      <c r="AJ25" s="43">
        <f>89+10</f>
        <v>99</v>
      </c>
      <c r="AK25" s="15">
        <f>0.00000491*AJ25^3-0.00107023*AJ25^2-0.03013591*AJ25+15.74788397</f>
        <v>7.0392727400000012</v>
      </c>
      <c r="AL25" s="15">
        <f>$G$25/(AK25*1000)</f>
        <v>1.0401553146887718E-2</v>
      </c>
      <c r="AM25" s="15">
        <f>AK25</f>
        <v>7.0392727400000012</v>
      </c>
      <c r="AN25" s="15">
        <f>($I25/AM25)/1000</f>
        <v>3.2221352605396542E-3</v>
      </c>
      <c r="AO25" s="24">
        <f>AL25-AN25+$J25</f>
        <v>4.8729417886348068E-2</v>
      </c>
      <c r="AP25" s="16">
        <f>AO25/$D25</f>
        <v>4.8729417886348068E-2</v>
      </c>
      <c r="AQ25" s="14">
        <f>AL25*$Q$11</f>
        <v>28.47158214821177</v>
      </c>
      <c r="AR25" s="14">
        <f>AN25*$M25*$S$7*$E$11</f>
        <v>2.7979031226976936</v>
      </c>
      <c r="AS25" s="14">
        <f>AQ25-AR25+$K25</f>
        <v>221.37417902551411</v>
      </c>
      <c r="AT25" s="44">
        <f>AS25/$D25</f>
        <v>221.37417902551411</v>
      </c>
      <c r="AU25" s="43">
        <f>88+10</f>
        <v>98</v>
      </c>
      <c r="AV25" s="15">
        <f>0.00000491*AU25^3-0.00107023*AU25^2-0.03013591*AU25+15.74788397</f>
        <v>7.137328590000001</v>
      </c>
      <c r="AW25" s="178">
        <f>$G$25/(AV25*1000)</f>
        <v>1.0258651902776965E-2</v>
      </c>
      <c r="AX25" s="15">
        <f>AV25</f>
        <v>7.137328590000001</v>
      </c>
      <c r="AY25" s="15">
        <f>($I25/AX25)/1000</f>
        <v>3.1778681082286538E-3</v>
      </c>
      <c r="AZ25" s="24">
        <f>AW25-AY25+$J25</f>
        <v>4.8630783794548313E-2</v>
      </c>
      <c r="BA25" s="16">
        <f>AZ25/$D25</f>
        <v>4.8630783794548313E-2</v>
      </c>
      <c r="BB25" s="14">
        <f>AW25*$S$11</f>
        <v>28.756340934918455</v>
      </c>
      <c r="BC25" s="14">
        <f>AY25*$M25*$T$7*$E$11</f>
        <v>2.8256798395576697</v>
      </c>
      <c r="BD25" s="14">
        <f>BB25-BC25+$K25</f>
        <v>221.63116109536082</v>
      </c>
      <c r="BE25" s="44">
        <f>BD25/$D25</f>
        <v>221.63116109536082</v>
      </c>
      <c r="BF25" s="43">
        <f>83+10</f>
        <v>93</v>
      </c>
      <c r="BG25" s="15">
        <f>0.00000491*BF25^3-0.00107023*BF25^2-0.03013591*BF25+15.74788397</f>
        <v>7.6382179400000023</v>
      </c>
      <c r="BH25" s="15">
        <f>$G$25/(BG25*1000)</f>
        <v>9.5859230642151485E-3</v>
      </c>
      <c r="BI25" s="15">
        <f>BG25</f>
        <v>7.6382179400000023</v>
      </c>
      <c r="BJ25" s="15">
        <f>($I25/BI25)/1000</f>
        <v>2.969473911621535E-3</v>
      </c>
      <c r="BK25" s="24">
        <f>BH25-BJ25+$J25</f>
        <v>4.8166449152593618E-2</v>
      </c>
      <c r="BL25" s="16">
        <f>BK25/$D25</f>
        <v>4.8166449152593618E-2</v>
      </c>
      <c r="BM25" s="14">
        <f>BH25*$T$11</f>
        <v>27.515375782532615</v>
      </c>
      <c r="BN25" s="14">
        <f>BJ25*$M25*$U$7*$E$11</f>
        <v>2.5858581773646758</v>
      </c>
      <c r="BO25" s="14">
        <f>BM25-BN25+$K25</f>
        <v>220.63001760516798</v>
      </c>
      <c r="BP25" s="44">
        <f>BO25/$D25</f>
        <v>220.63001760516798</v>
      </c>
      <c r="BQ25" s="43">
        <f>86+10</f>
        <v>96</v>
      </c>
      <c r="BR25" s="15">
        <f>0.00000491*BQ25^3-0.00107023*BQ25^2-0.03013591*BQ25+15.74788397</f>
        <v>7.3356506900000014</v>
      </c>
      <c r="BS25" s="15">
        <f>$G$25/(BR25*1000)</f>
        <v>9.9813053558235783E-3</v>
      </c>
      <c r="BT25" s="15">
        <f>BR25</f>
        <v>7.3356506900000014</v>
      </c>
      <c r="BU25" s="15">
        <f>($I25/BT25)/1000</f>
        <v>3.0919532380445976E-3</v>
      </c>
      <c r="BV25" s="24">
        <f>BS25-BU25+$J25</f>
        <v>4.8439352117778986E-2</v>
      </c>
      <c r="BW25" s="16">
        <f>BV25/$D25</f>
        <v>4.8439352117778986E-2</v>
      </c>
      <c r="BX25" s="14">
        <f>BS25*$U$11</f>
        <v>28.058661837073988</v>
      </c>
      <c r="BY25" s="14">
        <f>BU25*$M25*$V$7*$E$11</f>
        <v>2.7855946884547325</v>
      </c>
      <c r="BZ25" s="14">
        <f>BX25-BY25+$K25</f>
        <v>220.97356714861928</v>
      </c>
      <c r="CA25" s="44">
        <f>BZ25/$D25</f>
        <v>220.97356714861928</v>
      </c>
      <c r="CB25" s="43">
        <f>83+10</f>
        <v>93</v>
      </c>
      <c r="CC25" s="15">
        <f>0.00000491*CB25^3-0.00107023*CB25^2-0.03013591*CB25+15.74788397</f>
        <v>7.6382179400000023</v>
      </c>
      <c r="CD25" s="15">
        <f>$G$25/(CC25*1000)</f>
        <v>9.5859230642151485E-3</v>
      </c>
      <c r="CE25" s="15">
        <f>CC25</f>
        <v>7.6382179400000023</v>
      </c>
      <c r="CF25" s="15">
        <f>($I25/CE25)/1000</f>
        <v>2.969473911621535E-3</v>
      </c>
      <c r="CG25" s="24">
        <f>CD25-CF25+$J25</f>
        <v>4.8166449152593618E-2</v>
      </c>
      <c r="CH25" s="16">
        <f>CG25/$D25</f>
        <v>4.8166449152593618E-2</v>
      </c>
      <c r="CI25" s="14">
        <f>CD25*$V$11</f>
        <v>27.878754823175701</v>
      </c>
      <c r="CJ25" s="14">
        <f>CF25*$M25*$W$7*$E$11</f>
        <v>2.7032808975409086</v>
      </c>
      <c r="CK25" s="14">
        <f>CI25-CJ25+$K25</f>
        <v>220.87597392563481</v>
      </c>
      <c r="CL25" s="44">
        <f>CK25/$D25</f>
        <v>220.87597392563481</v>
      </c>
      <c r="CM25" s="43">
        <f>94+10</f>
        <v>104</v>
      </c>
      <c r="CN25" s="15">
        <f>0.00000491*CM25^3-0.00107023*CM25^2-0.03013591*CM25+15.74788397</f>
        <v>6.5612238900000026</v>
      </c>
      <c r="CO25" s="15">
        <f>$G$25/(CN25*1000)</f>
        <v>1.1159407261218746E-2</v>
      </c>
      <c r="CP25" s="15">
        <f>CN25</f>
        <v>6.5612238900000026</v>
      </c>
      <c r="CQ25" s="15">
        <f>($I25/CP25)/1000</f>
        <v>3.4568990914452058E-3</v>
      </c>
      <c r="CR25" s="24">
        <f>CO25-CQ25+$J25</f>
        <v>4.9252508169773543E-2</v>
      </c>
      <c r="CS25" s="16">
        <f>CR25/$D25</f>
        <v>4.9252508169773543E-2</v>
      </c>
      <c r="CT25" s="14">
        <f>CO25*$W$11</f>
        <v>32.794968170258905</v>
      </c>
      <c r="CU25" s="14">
        <f>CQ25*$M25*$X$7*$E$11</f>
        <v>3.1332163407944935</v>
      </c>
      <c r="CV25" s="14">
        <f>CT25-CU25+$K25</f>
        <v>225.36225182946444</v>
      </c>
      <c r="CW25" s="44">
        <f>CV25/$D25</f>
        <v>225.36225182946444</v>
      </c>
      <c r="CX25" s="43">
        <f>96+10</f>
        <v>106</v>
      </c>
      <c r="CY25" s="15">
        <f>0.00000491*CX25^3-0.00107023*CX25^2-0.03013591*CX25+15.74788397</f>
        <v>6.3762617900000009</v>
      </c>
      <c r="CZ25" s="15">
        <f>$G$25/(CY25*1000)</f>
        <v>1.1483118468469899E-2</v>
      </c>
      <c r="DA25" s="15">
        <f>CY25</f>
        <v>6.3762617900000009</v>
      </c>
      <c r="DB25" s="15">
        <f>($I25/DA25)/1000</f>
        <v>3.5571765481275173E-3</v>
      </c>
      <c r="DC25" s="24">
        <f>CZ25-DB25+$J25</f>
        <v>4.9475941920342381E-2</v>
      </c>
      <c r="DD25" s="16">
        <f>DC25/$D25</f>
        <v>4.9475941920342381E-2</v>
      </c>
      <c r="DE25" s="14">
        <f>CZ25*$X$11</f>
        <v>33.598350061411146</v>
      </c>
      <c r="DF25" s="14">
        <f>DB25*$M25*$Y$7*$E$11</f>
        <v>3.1916865180598903</v>
      </c>
      <c r="DG25" s="14">
        <f>DE25-DF25+$K25</f>
        <v>226.10716354335131</v>
      </c>
      <c r="DH25" s="44">
        <f>DG25/$D25</f>
        <v>226.10716354335131</v>
      </c>
      <c r="DI25" s="43">
        <f>100+10</f>
        <v>110</v>
      </c>
      <c r="DJ25" s="15">
        <f>0.00000491*DI25^3-0.00107023*DI25^2-0.03013591*DI25+15.74788397</f>
        <v>6.0183608700000022</v>
      </c>
      <c r="DK25" s="15">
        <f>$G$25/(DJ25*1000)</f>
        <v>1.216599853384131E-2</v>
      </c>
      <c r="DL25" s="15">
        <f>DJ25</f>
        <v>6.0183608700000022</v>
      </c>
      <c r="DM25" s="15">
        <f>($I25/DL25)/1000</f>
        <v>3.7687153352952028E-3</v>
      </c>
      <c r="DN25" s="24">
        <f>DK25-DM25+$J25</f>
        <v>4.9947283198546112E-2</v>
      </c>
      <c r="DO25" s="16">
        <f>DN25/$D25</f>
        <v>4.9947283198546112E-2</v>
      </c>
      <c r="DP25" s="14">
        <f>DK25*$Y$11</f>
        <v>35.23846591599856</v>
      </c>
      <c r="DQ25" s="14">
        <f>DM25*$M25*$Z$7*$E$11</f>
        <v>3.3452341840303847</v>
      </c>
      <c r="DR25" s="14">
        <f>DP25-DQ25+$K25</f>
        <v>227.59373173196821</v>
      </c>
      <c r="DS25" s="44">
        <f>DR25/$D25</f>
        <v>227.59373173196821</v>
      </c>
      <c r="DT25" s="43">
        <f>104+10</f>
        <v>114</v>
      </c>
      <c r="DU25" s="15">
        <f>0.00000491*DT25^3-0.00107023*DT25^2-0.03013591*DT25+15.74788397</f>
        <v>5.6780621900000021</v>
      </c>
      <c r="DV25" s="15">
        <f>$G$25/(DU25*1000)</f>
        <v>1.2895133422367097E-2</v>
      </c>
      <c r="DW25" s="15">
        <f>DU25</f>
        <v>5.6780621900000021</v>
      </c>
      <c r="DX25" s="15">
        <f>($I25/DW25)/1000</f>
        <v>3.9945826842219881E-3</v>
      </c>
      <c r="DY25" s="24">
        <f>DV25-DX25+$J25</f>
        <v>5.0450550738145111E-2</v>
      </c>
      <c r="DZ25" s="16">
        <f>DY25/$D25</f>
        <v>5.0450550738145111E-2</v>
      </c>
      <c r="EA25" s="14">
        <f>DV25*$Z$11</f>
        <v>36.949916063184382</v>
      </c>
      <c r="EB25" s="14">
        <f>DX25*$M25*$AA$7*$E$11</f>
        <v>3.4186860117803</v>
      </c>
      <c r="EC25" s="14">
        <f>EA25-EB25+$K25</f>
        <v>229.2317300514041</v>
      </c>
      <c r="ED25" s="44">
        <f>EC25/$D25</f>
        <v>229.2317300514041</v>
      </c>
      <c r="EE25" s="43">
        <f>100+10</f>
        <v>110</v>
      </c>
      <c r="EF25" s="15">
        <f>0.00000491*EE25^3-0.00107023*EE25^2-0.03013591*EE25+15.74788397</f>
        <v>6.0183608700000022</v>
      </c>
      <c r="EG25" s="15">
        <f>$G$25/(EF25*1000)</f>
        <v>1.216599853384131E-2</v>
      </c>
      <c r="EH25" s="15">
        <f>EF25</f>
        <v>6.0183608700000022</v>
      </c>
      <c r="EI25" s="15">
        <f>($I25/EH25)/1000</f>
        <v>3.7687153352952028E-3</v>
      </c>
      <c r="EJ25" s="24">
        <f>EG25-EI25+$J25</f>
        <v>4.9947283198546112E-2</v>
      </c>
      <c r="EK25" s="16">
        <f>EJ25/$D25</f>
        <v>4.9947283198546112E-2</v>
      </c>
      <c r="EL25" s="14">
        <f>EG25*$AA$11</f>
        <v>33.611661767817196</v>
      </c>
      <c r="EM25" s="14">
        <f>EI25*$M25*$AB$7*$E$11</f>
        <v>3.2760634098962966</v>
      </c>
      <c r="EN25" s="14">
        <f>EL25-EM25+$K25</f>
        <v>226.03609835792093</v>
      </c>
      <c r="EO25" s="44">
        <f>EN25/$D25</f>
        <v>226.03609835792093</v>
      </c>
      <c r="EP25" s="43">
        <f>101+10</f>
        <v>111</v>
      </c>
      <c r="EQ25" s="15">
        <f>0.00000491*EP25^3-0.00107023*EP25^2-0.03013591*EP25+15.74788397</f>
        <v>5.9315623400000028</v>
      </c>
      <c r="ER25" s="15">
        <f>$G$25/(EQ25*1000)</f>
        <v>1.2344027647958245E-2</v>
      </c>
      <c r="ES25" s="15">
        <f>EQ25</f>
        <v>5.9315623400000028</v>
      </c>
      <c r="ET25" s="15">
        <f>($I25/ES25)/1000</f>
        <v>3.8238642037284189E-3</v>
      </c>
      <c r="EU25" s="24">
        <f>ER25-ET25+$J25</f>
        <v>5.0070163444229827E-2</v>
      </c>
      <c r="EV25" s="16">
        <f>EU25/$D25</f>
        <v>5.0070163444229827E-2</v>
      </c>
      <c r="EW25" s="14">
        <f>ER25*$AB$11</f>
        <v>34.639393153871765</v>
      </c>
      <c r="EX25" s="14">
        <f>ET25*$M25*$AC$7*$E$11</f>
        <v>3.4005078529470349</v>
      </c>
      <c r="EY25" s="14">
        <f>EW25-EX25+$K25</f>
        <v>226.93938530092476</v>
      </c>
      <c r="EZ25" s="44">
        <f>EY25/$D25</f>
        <v>226.93938530092476</v>
      </c>
      <c r="FA25" s="43">
        <f>103+10</f>
        <v>113</v>
      </c>
      <c r="FB25" s="15">
        <f>0.00000491*FA25^3-0.00107023*FA25^2-0.03013591*FA25+15.74788397</f>
        <v>5.7613835400000024</v>
      </c>
      <c r="FC25" s="15">
        <f>$G$25/(FB25*1000)</f>
        <v>1.2708643507623156E-2</v>
      </c>
      <c r="FD25" s="15">
        <f>FB25</f>
        <v>5.7613835400000024</v>
      </c>
      <c r="FE25" s="15">
        <f>($I25/FD25)/1000</f>
        <v>3.9368128760456688E-3</v>
      </c>
      <c r="FF25" s="24">
        <f>FC25-FE25+$J25</f>
        <v>5.032183063157749E-2</v>
      </c>
      <c r="FG25" s="16">
        <f>FF25/$D25</f>
        <v>5.032183063157749E-2</v>
      </c>
      <c r="FH25" s="14">
        <f>FC25*$AC$11</f>
        <v>36.483369659245859</v>
      </c>
      <c r="FI25" s="14">
        <f>FE25*$M25*$AD$7*$E$11</f>
        <v>3.4626481149801545</v>
      </c>
      <c r="FJ25" s="14">
        <f>FH25-FI25+$K25</f>
        <v>228.72122154426575</v>
      </c>
      <c r="FK25" s="44">
        <f>FJ25/$D25</f>
        <v>228.72122154426575</v>
      </c>
      <c r="FL25" s="43">
        <f>113+10</f>
        <v>123</v>
      </c>
      <c r="FM25" s="15">
        <f>0.00000491*FL25^3-0.00107023*FL25^2-0.03013591*FL25+15.74788397</f>
        <v>4.9865143400000029</v>
      </c>
      <c r="FN25" s="15">
        <f>$G$25/(FM25*1000)</f>
        <v>1.4683477180283792E-2</v>
      </c>
      <c r="FO25" s="15">
        <f>FM25</f>
        <v>4.9865143400000029</v>
      </c>
      <c r="FP25" s="15">
        <f>($I25/FO25)/1000</f>
        <v>4.5485658633661078E-3</v>
      </c>
      <c r="FQ25" s="24">
        <f>FN25-FP25+$J25</f>
        <v>5.1684911316917687E-2</v>
      </c>
      <c r="FR25" s="16">
        <f>FQ25/$D25</f>
        <v>5.1684911316917687E-2</v>
      </c>
      <c r="FS25" s="14">
        <f>FN25*$AD$11</f>
        <v>41.691442769504135</v>
      </c>
      <c r="FT25" s="14">
        <f>FP25*$M25*$AE$7*$E$11</f>
        <v>4.4147342381968544</v>
      </c>
      <c r="FU25" s="14">
        <f>FS25-FT25+$K25</f>
        <v>232.97720853130733</v>
      </c>
      <c r="FV25" s="44">
        <f>FU25/$D25</f>
        <v>232.97720853130733</v>
      </c>
      <c r="FW25" s="43">
        <f>85+10</f>
        <v>95</v>
      </c>
      <c r="FX25" s="15">
        <f>0.00000491*FW25^3-0.00107023*FW25^2-0.03013591*FW25+15.74788397</f>
        <v>7.4358580200000013</v>
      </c>
      <c r="FY25" s="15">
        <f>$G$25/(FX25*1000)</f>
        <v>9.8467949930743735E-3</v>
      </c>
      <c r="FZ25" s="15">
        <f>FX25</f>
        <v>7.4358580200000013</v>
      </c>
      <c r="GA25" s="15">
        <f>($I25/FZ25)/1000</f>
        <v>3.0502853662756706E-3</v>
      </c>
      <c r="GB25" s="24">
        <f>FY25-GA25+$J25</f>
        <v>4.8346509626798706E-2</v>
      </c>
      <c r="GC25" s="16">
        <f>GB25/$D25</f>
        <v>4.8346509626798706E-2</v>
      </c>
      <c r="GD25" s="14">
        <f>FY25*$AE$11</f>
        <v>30.851721199387772</v>
      </c>
      <c r="GE25" s="14">
        <f>GA25*$M25*$AF$7*$E$11</f>
        <v>2.4743053906349299</v>
      </c>
      <c r="GF25" s="14">
        <f>GD25-GE25+$K25</f>
        <v>224.07791580875289</v>
      </c>
      <c r="GG25" s="44">
        <f>GF25/$D25</f>
        <v>224.07791580875289</v>
      </c>
    </row>
    <row r="26" spans="2:202" ht="13.8" x14ac:dyDescent="0.25">
      <c r="B26" s="31" t="s">
        <v>148</v>
      </c>
      <c r="C26" s="3" t="s">
        <v>156</v>
      </c>
      <c r="D26" s="3">
        <v>1</v>
      </c>
      <c r="E26" s="3">
        <v>38</v>
      </c>
      <c r="F26" s="3">
        <f>E26-10</f>
        <v>28</v>
      </c>
      <c r="G26" s="116">
        <f>'Cooling Load'!$E$33</f>
        <v>29.544657876712325</v>
      </c>
      <c r="H26" s="14">
        <f>G26*1.15</f>
        <v>33.976356558219173</v>
      </c>
      <c r="I26" s="14">
        <f>'Cooling Load'!$G$33</f>
        <v>22.681488904109589</v>
      </c>
      <c r="J26" s="110">
        <f>'Cooling Load'!G21</f>
        <v>3.0550000000000001E-2</v>
      </c>
      <c r="K26" s="109">
        <f>'Cooling Load'!G27</f>
        <v>143.8905</v>
      </c>
      <c r="L26" s="98">
        <f>I26/H26</f>
        <v>0.66756683769916292</v>
      </c>
      <c r="M26" s="97">
        <f>(1-(1-L26))*(1-$D$8)</f>
        <v>0.63418849581420478</v>
      </c>
      <c r="N26" s="43">
        <f>69+15</f>
        <v>84</v>
      </c>
      <c r="O26" s="15">
        <f>-0.00002515*N26^3+0.0100767*N26^2-1.45844836*N26+82.96962576</f>
        <v>16.654653119999992</v>
      </c>
      <c r="P26" s="15">
        <f>$G$26/(O26*1000)</f>
        <v>1.7739581643542715E-3</v>
      </c>
      <c r="Q26" s="15">
        <f>O26</f>
        <v>16.654653119999992</v>
      </c>
      <c r="R26" s="15">
        <f>($I26/Q26)/1000</f>
        <v>1.3618709882868819E-3</v>
      </c>
      <c r="S26" s="24">
        <f>P26-R26+$J26</f>
        <v>3.0962087176067389E-2</v>
      </c>
      <c r="T26" s="16">
        <f>S26/$D26</f>
        <v>3.0962087176067389E-2</v>
      </c>
      <c r="U26" s="14">
        <f>P26*$Q$10</f>
        <v>5.1255193597981794</v>
      </c>
      <c r="V26" s="14">
        <f>R26*$M26*$Q$7*$D$11</f>
        <v>3.020807616946199</v>
      </c>
      <c r="W26" s="14">
        <f>U26-V26+$K26</f>
        <v>145.99521174285198</v>
      </c>
      <c r="X26" s="44">
        <f>W26/$D26</f>
        <v>145.99521174285198</v>
      </c>
      <c r="Y26" s="43">
        <f>96+15</f>
        <v>111</v>
      </c>
      <c r="Z26" s="15">
        <f>-0.00002515*Y26^3+0.0100767*Y26^2-1.45844836*Y26+82.96962576</f>
        <v>10.840958850000007</v>
      </c>
      <c r="AA26" s="15">
        <f>$G$26/(Z26*1000)</f>
        <v>2.7252808801789988E-3</v>
      </c>
      <c r="AB26" s="15">
        <f>Z26</f>
        <v>10.840958850000007</v>
      </c>
      <c r="AC26" s="15">
        <f>($I26/AB26)/1000</f>
        <v>2.0922032098765484E-3</v>
      </c>
      <c r="AD26" s="24">
        <f>AA26-AC26+$J26</f>
        <v>3.1183077670302452E-2</v>
      </c>
      <c r="AE26" s="16">
        <f>AD26/$D26</f>
        <v>3.1183077670302452E-2</v>
      </c>
      <c r="AF26" s="14">
        <f>AA26*$R$10</f>
        <v>7.93180577485185</v>
      </c>
      <c r="AG26" s="14">
        <f>AC26*$M26*$R$7*$D$11</f>
        <v>4.6747378399822823</v>
      </c>
      <c r="AH26" s="14">
        <f>AF26-AG26+$K26</f>
        <v>147.14756793486958</v>
      </c>
      <c r="AI26" s="44">
        <f>AH26/$D26</f>
        <v>147.14756793486958</v>
      </c>
      <c r="AJ26" s="43">
        <f>89+15</f>
        <v>104</v>
      </c>
      <c r="AK26" s="15">
        <f>-0.00002515*AJ26^3+0.0100767*AJ26^2-1.45844836*AJ26+82.96962576</f>
        <v>11.990253919999972</v>
      </c>
      <c r="AL26" s="15">
        <f>$G$26/(AK26*1000)</f>
        <v>2.4640560636861302E-3</v>
      </c>
      <c r="AM26" s="15">
        <f>AK26</f>
        <v>11.990253919999972</v>
      </c>
      <c r="AN26" s="15">
        <f>($I26/AM26)/1000</f>
        <v>1.8916604315006569E-3</v>
      </c>
      <c r="AO26" s="24">
        <f>AL26-AN26+$J26</f>
        <v>3.1122395632185475E-2</v>
      </c>
      <c r="AP26" s="16">
        <f>AO26/$D26</f>
        <v>3.1122395632185475E-2</v>
      </c>
      <c r="AQ26" s="14">
        <f>AL26*$Q$10</f>
        <v>7.1194277925086098</v>
      </c>
      <c r="AR26" s="14">
        <f>AN26*$M26*$S$7*$D$11</f>
        <v>4.2969490149026726</v>
      </c>
      <c r="AS26" s="14">
        <f>AQ26-AR26+$K26</f>
        <v>146.71297877760594</v>
      </c>
      <c r="AT26" s="44">
        <f>AS26/$D26</f>
        <v>146.71297877760594</v>
      </c>
      <c r="AU26" s="43">
        <f>88+15</f>
        <v>103</v>
      </c>
      <c r="AV26" s="15">
        <f>-0.00002515*AU26^3+0.0100767*AU26^2-1.45844836*AU26+82.96962576</f>
        <v>12.171070929999985</v>
      </c>
      <c r="AW26" s="178">
        <f>$G$26/(AV26*1000)</f>
        <v>2.4274493219728823E-3</v>
      </c>
      <c r="AX26" s="15">
        <f>AV26</f>
        <v>12.171070929999985</v>
      </c>
      <c r="AY26" s="15">
        <f>($I26/AX26)/1000</f>
        <v>1.8635573676760767E-3</v>
      </c>
      <c r="AZ26" s="24">
        <f>AW26-AY26+$J26</f>
        <v>3.1113891954296806E-2</v>
      </c>
      <c r="BA26" s="16">
        <f>AZ26/$D26</f>
        <v>3.1113891954296806E-2</v>
      </c>
      <c r="BB26" s="14">
        <f>AW26*$S$10</f>
        <v>7.1824828575178294</v>
      </c>
      <c r="BC26" s="14">
        <f>AY26*$M26*$T$7*$D$11</f>
        <v>4.3346892279672149</v>
      </c>
      <c r="BD26" s="14">
        <f>BB26-BC26+$K26</f>
        <v>146.73829362955061</v>
      </c>
      <c r="BE26" s="44">
        <f>BD26/$D26</f>
        <v>146.73829362955061</v>
      </c>
      <c r="BF26" s="43">
        <f>83+15</f>
        <v>98</v>
      </c>
      <c r="BG26" s="15">
        <f>-0.00002515*BF26^3+0.0100767*BF26^2-1.45844836*BF26+82.96962576</f>
        <v>13.147334479999984</v>
      </c>
      <c r="BH26" s="15">
        <f>$G$26/(BG26*1000)</f>
        <v>2.2471975533638637E-3</v>
      </c>
      <c r="BI26" s="15">
        <f>BG26</f>
        <v>13.147334479999984</v>
      </c>
      <c r="BJ26" s="15">
        <f>($I26/BI26)/1000</f>
        <v>1.7251777490420717E-3</v>
      </c>
      <c r="BK26" s="24">
        <f>BH26-BJ26+$J26</f>
        <v>3.1072019804321793E-2</v>
      </c>
      <c r="BL26" s="16">
        <f>BK26/$D26</f>
        <v>3.1072019804321793E-2</v>
      </c>
      <c r="BM26" s="14">
        <f>BH26*$T$10</f>
        <v>6.808694662414605</v>
      </c>
      <c r="BN26" s="14">
        <f>BJ26*$M26*$U$7*$D$11</f>
        <v>3.9299511455877472</v>
      </c>
      <c r="BO26" s="14">
        <f>BM26-BN26+$K26</f>
        <v>146.76924351682686</v>
      </c>
      <c r="BP26" s="44">
        <f>BO26/$D26</f>
        <v>146.76924351682686</v>
      </c>
      <c r="BQ26" s="43">
        <f>86+15</f>
        <v>101</v>
      </c>
      <c r="BR26" s="15">
        <f>-0.00002515*BQ26^3+0.0100767*BQ26^2-1.45844836*BQ26+82.96962576</f>
        <v>12.546687949999992</v>
      </c>
      <c r="BS26" s="15">
        <f>$G$26/(BR26*1000)</f>
        <v>2.3547774515833356E-3</v>
      </c>
      <c r="BT26" s="15">
        <f>BR26</f>
        <v>12.546687949999992</v>
      </c>
      <c r="BU26" s="15">
        <f>($I26/BT26)/1000</f>
        <v>1.8077670373645982E-3</v>
      </c>
      <c r="BV26" s="24">
        <f>BS26-BU26+$J26</f>
        <v>3.1097010414218737E-2</v>
      </c>
      <c r="BW26" s="16">
        <f>BV26/$D26</f>
        <v>3.1097010414218737E-2</v>
      </c>
      <c r="BX26" s="14">
        <f>BS26*$U$10</f>
        <v>6.9873191005182944</v>
      </c>
      <c r="BY26" s="14">
        <f>BU26*$M26*$V$7*$D$11</f>
        <v>4.2604511225683943</v>
      </c>
      <c r="BZ26" s="14">
        <f>BX26-BY26+$K26</f>
        <v>146.6173679779499</v>
      </c>
      <c r="CA26" s="44">
        <f>BZ26/$D26</f>
        <v>146.6173679779499</v>
      </c>
      <c r="CB26" s="43">
        <f>83+15</f>
        <v>98</v>
      </c>
      <c r="CC26" s="15">
        <f>-0.00002515*CB26^3+0.0100767*CB26^2-1.45844836*CB26+82.96962576</f>
        <v>13.147334479999984</v>
      </c>
      <c r="CD26" s="15">
        <f>$G$26/(CC26*1000)</f>
        <v>2.2471975533638637E-3</v>
      </c>
      <c r="CE26" s="15">
        <f>CC26</f>
        <v>13.147334479999984</v>
      </c>
      <c r="CF26" s="15">
        <f>($I26/CE26)/1000</f>
        <v>1.7251777490420717E-3</v>
      </c>
      <c r="CG26" s="24">
        <f>CD26-CF26+$J26</f>
        <v>3.1072019804321793E-2</v>
      </c>
      <c r="CH26" s="16">
        <f>CG26/$D26</f>
        <v>3.1072019804321793E-2</v>
      </c>
      <c r="CI26" s="14">
        <f>CD26*$V$10</f>
        <v>6.8986130031276023</v>
      </c>
      <c r="CJ26" s="14">
        <f>CF26*$M26*$W$7*$D$11</f>
        <v>4.1084085558641714</v>
      </c>
      <c r="CK26" s="14">
        <f>CI26-CJ26+$K26</f>
        <v>146.68070444726342</v>
      </c>
      <c r="CL26" s="44">
        <f>CK26/$D26</f>
        <v>146.68070444726342</v>
      </c>
      <c r="CM26" s="43">
        <f>94+15</f>
        <v>109</v>
      </c>
      <c r="CN26" s="15">
        <f>-0.00002515*CM26^3+0.0100767*CM26^2-1.45844836*CM26+82.96962576</f>
        <v>11.150047869999966</v>
      </c>
      <c r="CO26" s="15">
        <f>$G$26/(CN26*1000)</f>
        <v>2.6497337250187443E-3</v>
      </c>
      <c r="CP26" s="15">
        <f>CN26</f>
        <v>11.150047869999966</v>
      </c>
      <c r="CQ26" s="15">
        <f>($I26/CP26)/1000</f>
        <v>2.0342055180889241E-3</v>
      </c>
      <c r="CR26" s="24">
        <f>CO26-CQ26+$J26</f>
        <v>3.1165528206929822E-2</v>
      </c>
      <c r="CS26" s="16">
        <f>CR26/$D26</f>
        <v>3.1165528206929822E-2</v>
      </c>
      <c r="CT26" s="14">
        <f>CO26*$W$10</f>
        <v>8.2195760024277789</v>
      </c>
      <c r="CU26" s="14">
        <f>CQ26*$M26*$X$7*$D$11</f>
        <v>4.8231039702260903</v>
      </c>
      <c r="CV26" s="14">
        <f>CT26-CU26+$K26</f>
        <v>147.2869720322017</v>
      </c>
      <c r="CW26" s="44">
        <f>CV26/$D26</f>
        <v>147.2869720322017</v>
      </c>
      <c r="CX26" s="43">
        <f>96+15</f>
        <v>111</v>
      </c>
      <c r="CY26" s="15">
        <f>-0.00002515*CX26^3+0.0100767*CX26^2-1.45844836*CX26+82.96962576</f>
        <v>10.840958850000007</v>
      </c>
      <c r="CZ26" s="15">
        <f>$G$26/(CY26*1000)</f>
        <v>2.7252808801789988E-3</v>
      </c>
      <c r="DA26" s="15">
        <f>CY26</f>
        <v>10.840958850000007</v>
      </c>
      <c r="DB26" s="15">
        <f>($I26/DA26)/1000</f>
        <v>2.0922032098765484E-3</v>
      </c>
      <c r="DC26" s="24">
        <f>CZ26-DB26+$J26</f>
        <v>3.1183077670302452E-2</v>
      </c>
      <c r="DD26" s="16">
        <f>DC26/$D26</f>
        <v>3.1183077670302452E-2</v>
      </c>
      <c r="DE26" s="14">
        <f>CZ26*$X$10</f>
        <v>8.4168671133653614</v>
      </c>
      <c r="DF26" s="14">
        <f>DB26*$M26*$Y$7*$D$11</f>
        <v>4.9107382735662828</v>
      </c>
      <c r="DG26" s="14">
        <f>DE26-DF26+$K26</f>
        <v>147.39662883979909</v>
      </c>
      <c r="DH26" s="44">
        <f>DG26/$D26</f>
        <v>147.39662883979909</v>
      </c>
      <c r="DI26" s="43">
        <f>100+15</f>
        <v>115</v>
      </c>
      <c r="DJ26" s="15">
        <f>-0.00002515*DI26^3+0.0100767*DI26^2-1.45844836*DI26+82.96962576</f>
        <v>10.262415609999962</v>
      </c>
      <c r="DK26" s="15">
        <f>$G$26/(DJ26*1000)</f>
        <v>2.8789184729493171E-3</v>
      </c>
      <c r="DL26" s="15">
        <f>DJ26</f>
        <v>10.262415609999962</v>
      </c>
      <c r="DM26" s="15">
        <f>($I26/DL26)/1000</f>
        <v>2.2101510761275501E-3</v>
      </c>
      <c r="DN26" s="24">
        <f>DK26-DM26+$J26</f>
        <v>3.1218767396821768E-2</v>
      </c>
      <c r="DO26" s="16">
        <f>DN26/$D26</f>
        <v>3.1218767396821768E-2</v>
      </c>
      <c r="DP26" s="14">
        <f>DK26*$Y$10</f>
        <v>8.801966187584366</v>
      </c>
      <c r="DQ26" s="14">
        <f>DM26*$M26*$Z$7*$D$11</f>
        <v>5.1319600610729559</v>
      </c>
      <c r="DR26" s="14">
        <f>DP26-DQ26+$K26</f>
        <v>147.56050612651143</v>
      </c>
      <c r="DS26" s="44">
        <f>DR26/$D26</f>
        <v>147.56050612651143</v>
      </c>
      <c r="DT26" s="43">
        <f>104+15</f>
        <v>119</v>
      </c>
      <c r="DU26" s="15">
        <f>-0.00002515*DT26^3+0.0100767*DT26^2-1.45844836*DT26+82.96962576</f>
        <v>9.7286707699999653</v>
      </c>
      <c r="DV26" s="15">
        <f>$G$26/(DU26*1000)</f>
        <v>3.036864806630971E-3</v>
      </c>
      <c r="DW26" s="15">
        <f>DU26</f>
        <v>9.7286707699999653</v>
      </c>
      <c r="DX26" s="15">
        <f>($I26/DW26)/1000</f>
        <v>2.331406770804895E-3</v>
      </c>
      <c r="DY26" s="24">
        <f>DV26-DX26+$J26</f>
        <v>3.1255458035826078E-2</v>
      </c>
      <c r="DZ26" s="16">
        <f>DY26/$D26</f>
        <v>3.1255458035826078E-2</v>
      </c>
      <c r="EA26" s="14">
        <f>DV26*$Z$10</f>
        <v>9.1853174564751665</v>
      </c>
      <c r="EB26" s="14">
        <f>DX26*$M26*$AA$7*$D$11</f>
        <v>5.2195608958019104</v>
      </c>
      <c r="EC26" s="14">
        <f>EA26-EB26+$K26</f>
        <v>147.85625656067327</v>
      </c>
      <c r="ED26" s="44">
        <f>EC26/$D26</f>
        <v>147.85625656067327</v>
      </c>
      <c r="EE26" s="43">
        <f>100+15</f>
        <v>115</v>
      </c>
      <c r="EF26" s="15">
        <f>-0.00002515*EE26^3+0.0100767*EE26^2-1.45844836*EE26+82.96962576</f>
        <v>10.262415609999962</v>
      </c>
      <c r="EG26" s="15">
        <f>$G$26/(EF26*1000)</f>
        <v>2.8789184729493171E-3</v>
      </c>
      <c r="EH26" s="15">
        <f>EF26</f>
        <v>10.262415609999962</v>
      </c>
      <c r="EI26" s="15">
        <f>($I26/EH26)/1000</f>
        <v>2.2101510761275501E-3</v>
      </c>
      <c r="EJ26" s="24">
        <f>EG26-EI26+$J26</f>
        <v>3.1218767396821768E-2</v>
      </c>
      <c r="EK26" s="16">
        <f>EJ26/$D26</f>
        <v>3.1218767396821768E-2</v>
      </c>
      <c r="EL26" s="14">
        <f>EG26*$AA$10</f>
        <v>8.3956183306643677</v>
      </c>
      <c r="EM26" s="14">
        <f>EI26*$M26*$AB$7*$D$11</f>
        <v>5.0258444258973185</v>
      </c>
      <c r="EN26" s="14">
        <f>EL26-EM26+$K26</f>
        <v>147.26027390476705</v>
      </c>
      <c r="EO26" s="44">
        <f>EN26/$D26</f>
        <v>147.26027390476705</v>
      </c>
      <c r="EP26" s="43">
        <f>101+15</f>
        <v>116</v>
      </c>
      <c r="EQ26" s="15">
        <f>-0.00002515*EP26^3+0.0100767*EP26^2-1.45844836*EP26+82.96962576</f>
        <v>10.125156799999999</v>
      </c>
      <c r="ER26" s="15">
        <f>$G$26/(EQ26*1000)</f>
        <v>2.9179457128715603E-3</v>
      </c>
      <c r="ES26" s="15">
        <f>EQ26</f>
        <v>10.125156799999999</v>
      </c>
      <c r="ET26" s="15">
        <f>($I26/ES26)/1000</f>
        <v>2.2401123609374217E-3</v>
      </c>
      <c r="EU26" s="24">
        <f>ER26-ET26+$J26</f>
        <v>3.1227833351934138E-2</v>
      </c>
      <c r="EV26" s="16">
        <f>EU26/$D26</f>
        <v>3.1227833351934138E-2</v>
      </c>
      <c r="EW26" s="14">
        <f>ER26*$AB$10</f>
        <v>8.6431428893563744</v>
      </c>
      <c r="EX26" s="14">
        <f>ET26*$M26*$AC$7*$D$11</f>
        <v>5.211217975428692</v>
      </c>
      <c r="EY26" s="14">
        <f>EW26-EX26+$K26</f>
        <v>147.32242491392768</v>
      </c>
      <c r="EZ26" s="44">
        <f>EY26/$D26</f>
        <v>147.32242491392768</v>
      </c>
      <c r="FA26" s="43">
        <f>103+15</f>
        <v>118</v>
      </c>
      <c r="FB26" s="15">
        <f>-0.00002515*FA26^3+0.0100767*FA26^2-1.45844836*FA26+82.96962576</f>
        <v>9.8584352799999948</v>
      </c>
      <c r="FC26" s="15">
        <f>$G$26/(FB26*1000)</f>
        <v>2.9968911939453682E-3</v>
      </c>
      <c r="FD26" s="15">
        <f>FB26</f>
        <v>9.8584352799999948</v>
      </c>
      <c r="FE26" s="15">
        <f>($I26/FD26)/1000</f>
        <v>2.3007189538611652E-3</v>
      </c>
      <c r="FF26" s="24">
        <f>FC26-FE26+$J26</f>
        <v>3.1246172240084205E-2</v>
      </c>
      <c r="FG26" s="16">
        <f>FF26/$D26</f>
        <v>3.1246172240084205E-2</v>
      </c>
      <c r="FH26" s="14">
        <f>FC26*$AC$10</f>
        <v>9.081295710459651</v>
      </c>
      <c r="FI26" s="14">
        <f>FE26*$M26*$AD$7*$D$11</f>
        <v>5.2936505986953124</v>
      </c>
      <c r="FJ26" s="14">
        <f>FH26-FI26+$K26</f>
        <v>147.67814511176434</v>
      </c>
      <c r="FK26" s="44">
        <f>FJ26/$D26</f>
        <v>147.67814511176434</v>
      </c>
      <c r="FL26" s="43">
        <f>113+15</f>
        <v>128</v>
      </c>
      <c r="FM26" s="15">
        <f>-0.00002515*FL26^3+0.0100767*FL26^2-1.45844836*FL26+82.96962576</f>
        <v>8.6415156799999835</v>
      </c>
      <c r="FN26" s="15">
        <f>$G$26/(FM26*1000)</f>
        <v>3.4189208202318948E-3</v>
      </c>
      <c r="FO26" s="15">
        <f>FM26</f>
        <v>8.6415156799999835</v>
      </c>
      <c r="FP26" s="15">
        <f>($I26/FO26)/1000</f>
        <v>2.6247118843519398E-3</v>
      </c>
      <c r="FQ26" s="24">
        <f>FN26-FP26+$J26</f>
        <v>3.1344208935879955E-2</v>
      </c>
      <c r="FR26" s="16">
        <f>FQ26/$D26</f>
        <v>3.1344208935879955E-2</v>
      </c>
      <c r="FS26" s="14">
        <f>FN26*$AD$10</f>
        <v>10.246797431036683</v>
      </c>
      <c r="FT26" s="14">
        <f>FP26*$M26*$AE$7*$D$11</f>
        <v>6.6640742948178842</v>
      </c>
      <c r="FU26" s="14">
        <f>FS26-FT26+$K26</f>
        <v>147.47322313621879</v>
      </c>
      <c r="FV26" s="44">
        <f>FU26/$D26</f>
        <v>147.47322313621879</v>
      </c>
      <c r="FW26" s="43">
        <f>85+15</f>
        <v>100</v>
      </c>
      <c r="FX26" s="15">
        <f>-0.00002515*FW26^3+0.0100767*FW26^2-1.45844836*FW26+82.96962576</f>
        <v>12.741789760000003</v>
      </c>
      <c r="FY26" s="15">
        <f>$G$26/(FX26*1000)</f>
        <v>2.3187211869922044E-3</v>
      </c>
      <c r="FZ26" s="15">
        <f>FX26</f>
        <v>12.741789760000003</v>
      </c>
      <c r="GA26" s="15">
        <f>($I26/FZ26)/1000</f>
        <v>1.7800865758524007E-3</v>
      </c>
      <c r="GB26" s="24">
        <f>FY26-GA26+$J26</f>
        <v>3.1088634611139806E-2</v>
      </c>
      <c r="GC26" s="16">
        <f>GB26/$D26</f>
        <v>3.1088634611139806E-2</v>
      </c>
      <c r="GD26" s="14">
        <f>FY26*$AE$10</f>
        <v>7.6685654421888048</v>
      </c>
      <c r="GE26" s="14">
        <f>GA26*$M26*$AF$7*$D$11</f>
        <v>3.7773051490267031</v>
      </c>
      <c r="GF26" s="14">
        <f>GD26-GE26+$K26</f>
        <v>147.78176029316211</v>
      </c>
      <c r="GG26" s="44">
        <f>GF26/$D26</f>
        <v>147.78176029316211</v>
      </c>
    </row>
    <row r="27" spans="2:202" ht="13.8" x14ac:dyDescent="0.25">
      <c r="B27" s="31" t="s">
        <v>149</v>
      </c>
      <c r="C27" s="3" t="s">
        <v>156</v>
      </c>
      <c r="D27" s="3">
        <v>1</v>
      </c>
      <c r="E27" s="3">
        <v>0</v>
      </c>
      <c r="F27" s="3">
        <f>E27-10</f>
        <v>-10</v>
      </c>
      <c r="G27" s="116">
        <f>'Cooling Load'!$E$33</f>
        <v>29.544657876712325</v>
      </c>
      <c r="H27" s="14">
        <f>G27*1.15</f>
        <v>33.976356558219173</v>
      </c>
      <c r="I27" s="14">
        <f>'Cooling Load'!$G$33</f>
        <v>22.681488904109589</v>
      </c>
      <c r="J27" s="110">
        <f>'Cooling Load'!G21</f>
        <v>3.0550000000000001E-2</v>
      </c>
      <c r="K27" s="109">
        <f>'Cooling Load'!G27</f>
        <v>143.8905</v>
      </c>
      <c r="L27" s="98">
        <f>I27/H27</f>
        <v>0.66756683769916292</v>
      </c>
      <c r="M27" s="97">
        <f>(1-(1-L27))*(1-$E$8)</f>
        <v>0.60081015392924664</v>
      </c>
      <c r="N27" s="43">
        <f>69+10</f>
        <v>79</v>
      </c>
      <c r="O27" s="15">
        <f>0.00000491*N27^3-0.00107023*N27^2-0.03013591*N27+15.74788397</f>
        <v>9.1086631400000009</v>
      </c>
      <c r="P27" s="15">
        <f>$G$27/(O27*1000)</f>
        <v>3.2435778360239507E-3</v>
      </c>
      <c r="Q27" s="15">
        <f>O27</f>
        <v>9.1086631400000009</v>
      </c>
      <c r="R27" s="15">
        <f>($I27/Q27)/1000</f>
        <v>2.4901007486494427E-3</v>
      </c>
      <c r="S27" s="24">
        <f>P27-R27+$J27</f>
        <v>3.1303477087374507E-2</v>
      </c>
      <c r="T27" s="16">
        <f>S27/$D27</f>
        <v>3.1303477087374507E-2</v>
      </c>
      <c r="U27" s="14">
        <f>P27*$Q$11</f>
        <v>8.8784618516425269</v>
      </c>
      <c r="V27" s="14">
        <f>R27*$M27*$Q$7*$E$11</f>
        <v>5.2326648882785705</v>
      </c>
      <c r="W27" s="14">
        <f>U27-V27+$K27</f>
        <v>147.53629696336395</v>
      </c>
      <c r="X27" s="44">
        <f>W27/$D27</f>
        <v>147.53629696336395</v>
      </c>
      <c r="Y27" s="43">
        <f>96+10</f>
        <v>106</v>
      </c>
      <c r="Z27" s="15">
        <f>0.00000491*Y27^3-0.00107023*Y27^2-0.03013591*Y27+15.74788397</f>
        <v>6.3762617900000009</v>
      </c>
      <c r="AA27" s="15">
        <f>$G$27/(Z27*1000)</f>
        <v>4.6335390311369766E-3</v>
      </c>
      <c r="AB27" s="15">
        <f>Z27</f>
        <v>6.3762617900000009</v>
      </c>
      <c r="AC27" s="15">
        <f>($I27/AB27)/1000</f>
        <v>3.5571765481275173E-3</v>
      </c>
      <c r="AD27" s="24">
        <f>AA27-AC27+$J27</f>
        <v>3.1626362483009457E-2</v>
      </c>
      <c r="AE27" s="16">
        <f>AD27/$D27</f>
        <v>3.1626362483009457E-2</v>
      </c>
      <c r="AF27" s="14">
        <f>AA27*$R$11</f>
        <v>12.775930236740965</v>
      </c>
      <c r="AG27" s="14">
        <f>AC27*$M27*$R$7*$E$11</f>
        <v>7.5297008290375462</v>
      </c>
      <c r="AH27" s="14">
        <f>AF27-AG27+$K27</f>
        <v>149.13672940770343</v>
      </c>
      <c r="AI27" s="44">
        <f>AH27/$D27</f>
        <v>149.13672940770343</v>
      </c>
      <c r="AJ27" s="43">
        <f>89+10</f>
        <v>99</v>
      </c>
      <c r="AK27" s="15">
        <f>0.00000491*AJ27^3-0.00107023*AJ27^2-0.03013591*AJ27+15.74788397</f>
        <v>7.0392727400000012</v>
      </c>
      <c r="AL27" s="15">
        <f>$G$27/(AK27*1000)</f>
        <v>4.1971179364634651E-3</v>
      </c>
      <c r="AM27" s="15">
        <f>AK27</f>
        <v>7.0392727400000012</v>
      </c>
      <c r="AN27" s="15">
        <f>($I27/AM27)/1000</f>
        <v>3.2221352605396542E-3</v>
      </c>
      <c r="AO27" s="24">
        <f>AL27-AN27+$J27</f>
        <v>3.152498267592381E-2</v>
      </c>
      <c r="AP27" s="16">
        <f>AO27/$D27</f>
        <v>3.152498267592381E-2</v>
      </c>
      <c r="AQ27" s="14">
        <f>AL27*$Q$11</f>
        <v>11.488533147524048</v>
      </c>
      <c r="AR27" s="14">
        <f>AN27*$M27*$S$7*$E$11</f>
        <v>6.9339338258160232</v>
      </c>
      <c r="AS27" s="14">
        <f>AQ27-AR27+$K27</f>
        <v>148.44509932170803</v>
      </c>
      <c r="AT27" s="44">
        <f>AS27/$D27</f>
        <v>148.44509932170803</v>
      </c>
      <c r="AU27" s="43">
        <f>88+10</f>
        <v>98</v>
      </c>
      <c r="AV27" s="15">
        <f>0.00000491*AU27^3-0.00107023*AU27^2-0.03013591*AU27+15.74788397</f>
        <v>7.137328590000001</v>
      </c>
      <c r="AW27" s="178">
        <f>$G$27/(AV27*1000)</f>
        <v>4.1394560309450908E-3</v>
      </c>
      <c r="AX27" s="15">
        <f>AV27</f>
        <v>7.137328590000001</v>
      </c>
      <c r="AY27" s="15">
        <f>($I27/AX27)/1000</f>
        <v>3.1778681082286538E-3</v>
      </c>
      <c r="AZ27" s="24">
        <f>AW27-AY27+$J27</f>
        <v>3.1511587922716439E-2</v>
      </c>
      <c r="BA27" s="16">
        <f>AZ27/$D27</f>
        <v>3.1511587922716439E-2</v>
      </c>
      <c r="BB27" s="14">
        <f>AW27*$S$11</f>
        <v>11.603435815844287</v>
      </c>
      <c r="BC27" s="14">
        <f>AY27*$M27*$T$7*$E$11</f>
        <v>7.002771776295095</v>
      </c>
      <c r="BD27" s="14">
        <f>BB27-BC27+$K27</f>
        <v>148.4911640395492</v>
      </c>
      <c r="BE27" s="44">
        <f>BD27/$D27</f>
        <v>148.4911640395492</v>
      </c>
      <c r="BF27" s="43">
        <f>83+10</f>
        <v>93</v>
      </c>
      <c r="BG27" s="15">
        <f>0.00000491*BF27^3-0.00107023*BF27^2-0.03013591*BF27+15.74788397</f>
        <v>7.6382179400000023</v>
      </c>
      <c r="BH27" s="15">
        <f>$G$27/(BG27*1000)</f>
        <v>3.868004043455235E-3</v>
      </c>
      <c r="BI27" s="15">
        <f>BG27</f>
        <v>7.6382179400000023</v>
      </c>
      <c r="BJ27" s="15">
        <f>($I27/BI27)/1000</f>
        <v>2.969473911621535E-3</v>
      </c>
      <c r="BK27" s="24">
        <f>BH27-BJ27+$J27</f>
        <v>3.1448530131833699E-2</v>
      </c>
      <c r="BL27" s="16">
        <f>BK27/$D27</f>
        <v>3.1448530131833699E-2</v>
      </c>
      <c r="BM27" s="14">
        <f>BH27*$T$11</f>
        <v>11.10269549119737</v>
      </c>
      <c r="BN27" s="14">
        <f>BJ27*$M27*$U$7*$E$11</f>
        <v>6.4084311352081107</v>
      </c>
      <c r="BO27" s="14">
        <f>BM27-BN27+$K27</f>
        <v>148.58476435598925</v>
      </c>
      <c r="BP27" s="44">
        <f>BO27/$D27</f>
        <v>148.58476435598925</v>
      </c>
      <c r="BQ27" s="43">
        <f>86+10</f>
        <v>96</v>
      </c>
      <c r="BR27" s="15">
        <f>0.00000491*BQ27^3-0.00107023*BQ27^2-0.03013591*BQ27+15.74788397</f>
        <v>7.3356506900000014</v>
      </c>
      <c r="BS27" s="15">
        <f>$G$27/(BR27*1000)</f>
        <v>4.0275442663849524E-3</v>
      </c>
      <c r="BT27" s="15">
        <f>BR27</f>
        <v>7.3356506900000014</v>
      </c>
      <c r="BU27" s="15">
        <f>($I27/BT27)/1000</f>
        <v>3.0919532380445976E-3</v>
      </c>
      <c r="BV27" s="24">
        <f>BS27-BU27+$J27</f>
        <v>3.1485591028340358E-2</v>
      </c>
      <c r="BW27" s="16">
        <f>BV27/$D27</f>
        <v>3.1485591028340358E-2</v>
      </c>
      <c r="BX27" s="14">
        <f>BS27*$U$11</f>
        <v>11.321916179871959</v>
      </c>
      <c r="BY27" s="14">
        <f>BU27*$M27*$V$7*$E$11</f>
        <v>6.9034303148660756</v>
      </c>
      <c r="BZ27" s="14">
        <f>BX27-BY27+$K27</f>
        <v>148.30898586500589</v>
      </c>
      <c r="CA27" s="44">
        <f>BZ27/$D27</f>
        <v>148.30898586500589</v>
      </c>
      <c r="CB27" s="43">
        <f>83+10</f>
        <v>93</v>
      </c>
      <c r="CC27" s="15">
        <f>0.00000491*CB27^3-0.00107023*CB27^2-0.03013591*CB27+15.74788397</f>
        <v>7.6382179400000023</v>
      </c>
      <c r="CD27" s="15">
        <f>$G$27/(CC27*1000)</f>
        <v>3.868004043455235E-3</v>
      </c>
      <c r="CE27" s="15">
        <f>CC27</f>
        <v>7.6382179400000023</v>
      </c>
      <c r="CF27" s="15">
        <f>($I27/CE27)/1000</f>
        <v>2.969473911621535E-3</v>
      </c>
      <c r="CG27" s="24">
        <f>CD27-CF27+$J27</f>
        <v>3.1448530131833699E-2</v>
      </c>
      <c r="CH27" s="16">
        <f>CG27/$D27</f>
        <v>3.1448530131833699E-2</v>
      </c>
      <c r="CI27" s="14">
        <f>CD27*$V$11</f>
        <v>11.2493221216323</v>
      </c>
      <c r="CJ27" s="14">
        <f>CF27*$M27*$W$7*$E$11</f>
        <v>6.6994352678187727</v>
      </c>
      <c r="CK27" s="14">
        <f>CI27-CJ27+$K27</f>
        <v>148.44038685381352</v>
      </c>
      <c r="CL27" s="44">
        <f>CK27/$D27</f>
        <v>148.44038685381352</v>
      </c>
      <c r="CM27" s="43">
        <f>94+10</f>
        <v>104</v>
      </c>
      <c r="CN27" s="15">
        <f>0.00000491*CM27^3-0.00107023*CM27^2-0.03013591*CM27+15.74788397</f>
        <v>6.5612238900000026</v>
      </c>
      <c r="CO27" s="15">
        <f>$G$27/(CN27*1000)</f>
        <v>4.5029187194391427E-3</v>
      </c>
      <c r="CP27" s="15">
        <f>CN27</f>
        <v>6.5612238900000026</v>
      </c>
      <c r="CQ27" s="15">
        <f>($I27/CP27)/1000</f>
        <v>3.4568990914452058E-3</v>
      </c>
      <c r="CR27" s="24">
        <f>CO27-CQ27+$J27</f>
        <v>3.1596019627993938E-2</v>
      </c>
      <c r="CS27" s="16">
        <f>CR27/$D27</f>
        <v>3.1596019627993938E-2</v>
      </c>
      <c r="CT27" s="14">
        <f>CO27*$W$11</f>
        <v>13.233057331858856</v>
      </c>
      <c r="CU27" s="14">
        <f>CQ27*$M27*$X$7*$E$11</f>
        <v>7.7649274532733106</v>
      </c>
      <c r="CV27" s="14">
        <f>CT27-CU27+$K27</f>
        <v>149.35862987858556</v>
      </c>
      <c r="CW27" s="44">
        <f>CV27/$D27</f>
        <v>149.35862987858556</v>
      </c>
      <c r="CX27" s="43">
        <f>96+10</f>
        <v>106</v>
      </c>
      <c r="CY27" s="15">
        <f>0.00000491*CX27^3-0.00107023*CX27^2-0.03013591*CX27+15.74788397</f>
        <v>6.3762617900000009</v>
      </c>
      <c r="CZ27" s="15">
        <f>$G$27/(CY27*1000)</f>
        <v>4.6335390311369766E-3</v>
      </c>
      <c r="DA27" s="15">
        <f>CY27</f>
        <v>6.3762617900000009</v>
      </c>
      <c r="DB27" s="15">
        <f>($I27/DA27)/1000</f>
        <v>3.5571765481275173E-3</v>
      </c>
      <c r="DC27" s="24">
        <f>CZ27-DB27+$J27</f>
        <v>3.1626362483009457E-2</v>
      </c>
      <c r="DD27" s="16">
        <f>DC27/$D27</f>
        <v>3.1626362483009457E-2</v>
      </c>
      <c r="DE27" s="14">
        <f>CZ27*$X$11</f>
        <v>13.557228972148357</v>
      </c>
      <c r="DF27" s="14">
        <f>DB27*$M27*$Y$7*$E$11</f>
        <v>7.909831805626685</v>
      </c>
      <c r="DG27" s="14">
        <f>DE27-DF27+$K27</f>
        <v>149.53789716652167</v>
      </c>
      <c r="DH27" s="44">
        <f>DG27/$D27</f>
        <v>149.53789716652167</v>
      </c>
      <c r="DI27" s="43">
        <f>100+10</f>
        <v>110</v>
      </c>
      <c r="DJ27" s="15">
        <f>0.00000491*DI27^3-0.00107023*DI27^2-0.03013591*DI27+15.74788397</f>
        <v>6.0183608700000022</v>
      </c>
      <c r="DK27" s="15">
        <f>$G$27/(DJ27*1000)</f>
        <v>4.9090871276903526E-3</v>
      </c>
      <c r="DL27" s="15">
        <f>DJ27</f>
        <v>6.0183608700000022</v>
      </c>
      <c r="DM27" s="15">
        <f>($I27/DL27)/1000</f>
        <v>3.7687153352952028E-3</v>
      </c>
      <c r="DN27" s="24">
        <f>DK27-DM27+$J27</f>
        <v>3.1690371792395151E-2</v>
      </c>
      <c r="DO27" s="16">
        <f>DN27/$D27</f>
        <v>3.1690371792395151E-2</v>
      </c>
      <c r="DP27" s="14">
        <f>DK27*$Y$11</f>
        <v>14.219030106455557</v>
      </c>
      <c r="DQ27" s="14">
        <f>DM27*$M27*$Z$7*$E$11</f>
        <v>8.2903629778144321</v>
      </c>
      <c r="DR27" s="14">
        <f>DP27-DQ27+$K27</f>
        <v>149.81916712864114</v>
      </c>
      <c r="DS27" s="44">
        <f>DR27/$D27</f>
        <v>149.81916712864114</v>
      </c>
      <c r="DT27" s="43">
        <f>104+10</f>
        <v>114</v>
      </c>
      <c r="DU27" s="15">
        <f>0.00000491*DT27^3-0.00107023*DT27^2-0.03013591*DT27+15.74788397</f>
        <v>5.6780621900000021</v>
      </c>
      <c r="DV27" s="15">
        <f>$G$27/(DU27*1000)</f>
        <v>5.2032994511305823E-3</v>
      </c>
      <c r="DW27" s="15">
        <f>DU27</f>
        <v>5.6780621900000021</v>
      </c>
      <c r="DX27" s="15">
        <f>($I27/DW27)/1000</f>
        <v>3.9945826842219881E-3</v>
      </c>
      <c r="DY27" s="24">
        <f>DV27-DX27+$J27</f>
        <v>3.1758716766908598E-2</v>
      </c>
      <c r="DZ27" s="16">
        <f>DY27/$D27</f>
        <v>3.1758716766908598E-2</v>
      </c>
      <c r="EA27" s="14">
        <f>DV27*$Z$11</f>
        <v>14.909615253565626</v>
      </c>
      <c r="EB27" s="14">
        <f>DX27*$M27*$AA$7*$E$11</f>
        <v>8.4723957683250894</v>
      </c>
      <c r="EC27" s="14">
        <f>EA27-EB27+$K27</f>
        <v>150.32771948524055</v>
      </c>
      <c r="ED27" s="44">
        <f>EC27/$D27</f>
        <v>150.32771948524055</v>
      </c>
      <c r="EE27" s="43">
        <f>100+10</f>
        <v>110</v>
      </c>
      <c r="EF27" s="15">
        <f>0.00000491*EE27^3-0.00107023*EE27^2-0.03013591*EE27+15.74788397</f>
        <v>6.0183608700000022</v>
      </c>
      <c r="EG27" s="15">
        <f>$G$27/(EF27*1000)</f>
        <v>4.9090871276903526E-3</v>
      </c>
      <c r="EH27" s="15">
        <f>EF27</f>
        <v>6.0183608700000022</v>
      </c>
      <c r="EI27" s="15">
        <f>($I27/EH27)/1000</f>
        <v>3.7687153352952028E-3</v>
      </c>
      <c r="EJ27" s="24">
        <f>EG27-EI27+$J27</f>
        <v>3.1690371792395151E-2</v>
      </c>
      <c r="EK27" s="16">
        <f>EJ27/$D27</f>
        <v>3.1690371792395151E-2</v>
      </c>
      <c r="EL27" s="14">
        <f>EG27*$AA$11</f>
        <v>13.56260036245255</v>
      </c>
      <c r="EM27" s="14">
        <f>EI27*$M27*$AB$7*$E$11</f>
        <v>8.1189397549603868</v>
      </c>
      <c r="EN27" s="14">
        <f>EL27-EM27+$K27</f>
        <v>149.33416060749215</v>
      </c>
      <c r="EO27" s="44">
        <f>EN27/$D27</f>
        <v>149.33416060749215</v>
      </c>
      <c r="EP27" s="43">
        <f>101+10</f>
        <v>111</v>
      </c>
      <c r="EQ27" s="15">
        <f>0.00000491*EP27^3-0.00107023*EP27^2-0.03013591*EP27+15.74788397</f>
        <v>5.9315623400000028</v>
      </c>
      <c r="ER27" s="15">
        <f>$G$27/(EQ27*1000)</f>
        <v>4.9809234368954321E-3</v>
      </c>
      <c r="ES27" s="15">
        <f>EQ27</f>
        <v>5.9315623400000028</v>
      </c>
      <c r="ET27" s="15">
        <f>($I27/ES27)/1000</f>
        <v>3.8238642037284189E-3</v>
      </c>
      <c r="EU27" s="24">
        <f>ER27-ET27+$J27</f>
        <v>3.1707059233167016E-2</v>
      </c>
      <c r="EV27" s="16">
        <f>EU27/$D27</f>
        <v>3.1707059233167016E-2</v>
      </c>
      <c r="EW27" s="14">
        <f>ER27*$AB$11</f>
        <v>13.977298991913168</v>
      </c>
      <c r="EX27" s="14">
        <f>ET27*$M27*$AC$7*$E$11</f>
        <v>8.4273455486078692</v>
      </c>
      <c r="EY27" s="14">
        <f>EW27-EX27+$K27</f>
        <v>149.4404534433053</v>
      </c>
      <c r="EZ27" s="44">
        <f>EY27/$D27</f>
        <v>149.4404534433053</v>
      </c>
      <c r="FA27" s="43">
        <f>103+10</f>
        <v>113</v>
      </c>
      <c r="FB27" s="15">
        <f>0.00000491*FA27^3-0.00107023*FA27^2-0.03013591*FA27+15.74788397</f>
        <v>5.7613835400000024</v>
      </c>
      <c r="FC27" s="15">
        <f>$G$27/(FB27*1000)</f>
        <v>5.1280491346549564E-3</v>
      </c>
      <c r="FD27" s="15">
        <f>FB27</f>
        <v>5.7613835400000024</v>
      </c>
      <c r="FE27" s="15">
        <f>($I27/FD27)/1000</f>
        <v>3.9368128760456688E-3</v>
      </c>
      <c r="FF27" s="24">
        <f>FC27-FE27+$J27</f>
        <v>3.1741236258609286E-2</v>
      </c>
      <c r="FG27" s="16">
        <f>FF27/$D27</f>
        <v>3.1741236258609286E-2</v>
      </c>
      <c r="FH27" s="14">
        <f>FC27*$AC$11</f>
        <v>14.721359687064115</v>
      </c>
      <c r="FI27" s="14">
        <f>FE27*$M27*$AD$7*$E$11</f>
        <v>8.5813453284290784</v>
      </c>
      <c r="FJ27" s="14">
        <f>FH27-FI27+$K27</f>
        <v>150.03051435863503</v>
      </c>
      <c r="FK27" s="44">
        <f>FJ27/$D27</f>
        <v>150.03051435863503</v>
      </c>
      <c r="FL27" s="43">
        <f>113+10</f>
        <v>123</v>
      </c>
      <c r="FM27" s="15">
        <f>0.00000491*FL27^3-0.00107023*FL27^2-0.03013591*FL27+15.74788397</f>
        <v>4.9865143400000029</v>
      </c>
      <c r="FN27" s="15">
        <f>$G$27/(FM27*1000)</f>
        <v>5.9249118446759157E-3</v>
      </c>
      <c r="FO27" s="15">
        <f>FM27</f>
        <v>4.9865143400000029</v>
      </c>
      <c r="FP27" s="15">
        <f>($I27/FO27)/1000</f>
        <v>4.5485658633661078E-3</v>
      </c>
      <c r="FQ27" s="24">
        <f>FN27-FP27+$J27</f>
        <v>3.1926345981309806E-2</v>
      </c>
      <c r="FR27" s="16">
        <f>FQ27/$D27</f>
        <v>3.1926345981309806E-2</v>
      </c>
      <c r="FS27" s="14">
        <f>FN27*$AD$11</f>
        <v>16.822862871905176</v>
      </c>
      <c r="FT27" s="14">
        <f>FP27*$M27*$AE$7*$E$11</f>
        <v>10.940863112053073</v>
      </c>
      <c r="FU27" s="14">
        <f>FS27-FT27+$K27</f>
        <v>149.77249975985211</v>
      </c>
      <c r="FV27" s="44">
        <f>FU27/$D27</f>
        <v>149.77249975985211</v>
      </c>
      <c r="FW27" s="43">
        <f>85+10</f>
        <v>95</v>
      </c>
      <c r="FX27" s="15">
        <f>0.00000491*FW27^3-0.00107023*FW27^2-0.03013591*FW27+15.74788397</f>
        <v>7.4358580200000013</v>
      </c>
      <c r="FY27" s="15">
        <f>$G$27/(FX27*1000)</f>
        <v>3.9732681551001856E-3</v>
      </c>
      <c r="FZ27" s="15">
        <f>FX27</f>
        <v>7.4358580200000013</v>
      </c>
      <c r="GA27" s="15">
        <f>($I27/FZ27)/1000</f>
        <v>3.0502853662756706E-3</v>
      </c>
      <c r="GB27" s="24">
        <f>FY27-GA27+$J27</f>
        <v>3.1472982788824516E-2</v>
      </c>
      <c r="GC27" s="16">
        <f>GB27/$D27</f>
        <v>3.1472982788824516E-2</v>
      </c>
      <c r="GD27" s="14">
        <f>FY27*$AE$11</f>
        <v>12.448940133086293</v>
      </c>
      <c r="GE27" s="14">
        <f>GA27*$M27*$AF$7*$E$11</f>
        <v>6.1319742289648262</v>
      </c>
      <c r="GF27" s="14">
        <f>GD27-GE27+$K27</f>
        <v>150.20746590412148</v>
      </c>
      <c r="GG27" s="44">
        <f>GF27/$D27</f>
        <v>150.20746590412148</v>
      </c>
    </row>
    <row r="28" spans="2:202" ht="14.4" hidden="1" x14ac:dyDescent="0.3">
      <c r="B28" s="30"/>
      <c r="C28" s="3" t="s">
        <v>156</v>
      </c>
      <c r="D28" s="7"/>
      <c r="E28" s="7"/>
      <c r="F28" s="3"/>
      <c r="G28" s="3"/>
      <c r="H28" s="8"/>
      <c r="I28" s="12"/>
      <c r="J28" s="111"/>
      <c r="K28" s="108"/>
      <c r="L28" s="98"/>
      <c r="M28" s="97"/>
      <c r="N28" s="45"/>
      <c r="O28" s="22"/>
      <c r="P28" s="15"/>
      <c r="Q28" s="22"/>
      <c r="R28" s="15"/>
      <c r="S28" s="24"/>
      <c r="T28" s="16"/>
      <c r="U28" s="14"/>
      <c r="V28" s="14"/>
      <c r="W28" s="14"/>
      <c r="X28" s="44"/>
      <c r="Y28" s="45"/>
      <c r="Z28" s="22"/>
      <c r="AA28" s="15"/>
      <c r="AB28" s="22"/>
      <c r="AC28" s="15"/>
      <c r="AD28" s="24"/>
      <c r="AE28" s="16"/>
      <c r="AF28" s="14"/>
      <c r="AG28" s="14"/>
      <c r="AH28" s="14"/>
      <c r="AI28" s="44"/>
      <c r="AJ28" s="45"/>
      <c r="AK28" s="22"/>
      <c r="AL28" s="15"/>
      <c r="AM28" s="22"/>
      <c r="AN28" s="15"/>
      <c r="AO28" s="24"/>
      <c r="AP28" s="16"/>
      <c r="AQ28" s="14"/>
      <c r="AR28" s="14"/>
      <c r="AS28" s="14"/>
      <c r="AT28" s="44"/>
      <c r="AU28" s="45"/>
      <c r="AV28" s="22"/>
      <c r="AW28" s="178"/>
      <c r="AX28" s="22"/>
      <c r="AY28" s="15"/>
      <c r="AZ28" s="24"/>
      <c r="BA28" s="16"/>
      <c r="BB28" s="14"/>
      <c r="BC28" s="14"/>
      <c r="BD28" s="14"/>
      <c r="BE28" s="44"/>
      <c r="BF28" s="45"/>
      <c r="BG28" s="22"/>
      <c r="BH28" s="15"/>
      <c r="BI28" s="22"/>
      <c r="BJ28" s="15"/>
      <c r="BK28" s="24"/>
      <c r="BL28" s="16"/>
      <c r="BM28" s="14"/>
      <c r="BN28" s="14"/>
      <c r="BO28" s="14"/>
      <c r="BP28" s="44"/>
      <c r="BQ28" s="45"/>
      <c r="BR28" s="22"/>
      <c r="BS28" s="15"/>
      <c r="BT28" s="22"/>
      <c r="BU28" s="15"/>
      <c r="BV28" s="24"/>
      <c r="BW28" s="16"/>
      <c r="BX28" s="14"/>
      <c r="BY28" s="14"/>
      <c r="BZ28" s="14"/>
      <c r="CA28" s="44"/>
      <c r="CB28" s="45"/>
      <c r="CC28" s="22"/>
      <c r="CD28" s="15"/>
      <c r="CE28" s="22"/>
      <c r="CF28" s="15"/>
      <c r="CG28" s="24"/>
      <c r="CH28" s="16"/>
      <c r="CI28" s="14"/>
      <c r="CJ28" s="14"/>
      <c r="CK28" s="14"/>
      <c r="CL28" s="44"/>
      <c r="CM28" s="45"/>
      <c r="CN28" s="22"/>
      <c r="CO28" s="15"/>
      <c r="CP28" s="22"/>
      <c r="CQ28" s="15"/>
      <c r="CR28" s="24"/>
      <c r="CS28" s="16"/>
      <c r="CT28" s="14"/>
      <c r="CU28" s="14"/>
      <c r="CV28" s="14"/>
      <c r="CW28" s="44"/>
      <c r="CX28" s="45"/>
      <c r="CY28" s="22"/>
      <c r="CZ28" s="15"/>
      <c r="DA28" s="22"/>
      <c r="DB28" s="15"/>
      <c r="DC28" s="24"/>
      <c r="DD28" s="16"/>
      <c r="DE28" s="14"/>
      <c r="DF28" s="14"/>
      <c r="DG28" s="14"/>
      <c r="DH28" s="44"/>
      <c r="DI28" s="45"/>
      <c r="DJ28" s="22"/>
      <c r="DK28" s="15"/>
      <c r="DL28" s="22"/>
      <c r="DM28" s="15"/>
      <c r="DN28" s="24"/>
      <c r="DO28" s="16"/>
      <c r="DP28" s="14"/>
      <c r="DQ28" s="14"/>
      <c r="DR28" s="14"/>
      <c r="DS28" s="44"/>
      <c r="DT28" s="45"/>
      <c r="DU28" s="22"/>
      <c r="DV28" s="15"/>
      <c r="DW28" s="22"/>
      <c r="DX28" s="15"/>
      <c r="DY28" s="24"/>
      <c r="DZ28" s="16"/>
      <c r="EA28" s="14"/>
      <c r="EB28" s="14"/>
      <c r="EC28" s="14"/>
      <c r="ED28" s="44"/>
      <c r="EE28" s="45"/>
      <c r="EF28" s="22"/>
      <c r="EG28" s="15"/>
      <c r="EH28" s="22"/>
      <c r="EI28" s="15"/>
      <c r="EJ28" s="24"/>
      <c r="EK28" s="16"/>
      <c r="EL28" s="14"/>
      <c r="EM28" s="14"/>
      <c r="EN28" s="14"/>
      <c r="EO28" s="44"/>
      <c r="EP28" s="45"/>
      <c r="EQ28" s="22"/>
      <c r="ER28" s="15"/>
      <c r="ES28" s="22"/>
      <c r="ET28" s="15"/>
      <c r="EU28" s="24"/>
      <c r="EV28" s="16"/>
      <c r="EW28" s="14"/>
      <c r="EX28" s="14"/>
      <c r="EY28" s="14"/>
      <c r="EZ28" s="44"/>
      <c r="FA28" s="45"/>
      <c r="FB28" s="22"/>
      <c r="FC28" s="15"/>
      <c r="FD28" s="22"/>
      <c r="FE28" s="15"/>
      <c r="FF28" s="24"/>
      <c r="FG28" s="16"/>
      <c r="FH28" s="14"/>
      <c r="FI28" s="14"/>
      <c r="FJ28" s="14"/>
      <c r="FK28" s="44"/>
      <c r="FL28" s="45"/>
      <c r="FM28" s="22"/>
      <c r="FN28" s="15"/>
      <c r="FO28" s="22"/>
      <c r="FP28" s="15"/>
      <c r="FQ28" s="24"/>
      <c r="FR28" s="16"/>
      <c r="FS28" s="14"/>
      <c r="FT28" s="14"/>
      <c r="FU28" s="14"/>
      <c r="FV28" s="44"/>
      <c r="FW28" s="45"/>
      <c r="FX28" s="22"/>
      <c r="FY28" s="15"/>
      <c r="FZ28" s="22"/>
      <c r="GA28" s="15"/>
      <c r="GB28" s="24"/>
      <c r="GC28" s="16"/>
      <c r="GD28" s="14"/>
      <c r="GE28" s="14"/>
      <c r="GF28" s="14"/>
      <c r="GG28" s="44"/>
      <c r="GH28" s="1" t="s">
        <v>0</v>
      </c>
      <c r="GI28" s="61" t="e">
        <f>#REF!</f>
        <v>#REF!</v>
      </c>
      <c r="GJ28" s="62" t="e">
        <f>#REF!</f>
        <v>#REF!</v>
      </c>
      <c r="GK28" s="61" t="e">
        <f>#REF!</f>
        <v>#REF!</v>
      </c>
      <c r="GL28" s="62" t="e">
        <f>#REF!</f>
        <v>#REF!</v>
      </c>
      <c r="GM28" s="61" t="e">
        <f>#REF!</f>
        <v>#REF!</v>
      </c>
      <c r="GN28" s="62" t="e">
        <f>#REF!</f>
        <v>#REF!</v>
      </c>
      <c r="GO28" s="61" t="e">
        <f>#REF!</f>
        <v>#REF!</v>
      </c>
      <c r="GP28" s="62" t="e">
        <f>#REF!</f>
        <v>#REF!</v>
      </c>
      <c r="GQ28" s="61" t="e">
        <f>#REF!</f>
        <v>#REF!</v>
      </c>
      <c r="GR28" s="62" t="e">
        <f>#REF!</f>
        <v>#REF!</v>
      </c>
      <c r="GS28" s="61" t="e">
        <f>#REF!</f>
        <v>#REF!</v>
      </c>
      <c r="GT28" s="62" t="e">
        <f>#REF!</f>
        <v>#REF!</v>
      </c>
    </row>
    <row r="29" spans="2:202" ht="13.8" x14ac:dyDescent="0.25">
      <c r="B29" s="167" t="s">
        <v>150</v>
      </c>
      <c r="C29" s="3" t="s">
        <v>156</v>
      </c>
      <c r="D29" s="3">
        <v>1</v>
      </c>
      <c r="E29" s="3">
        <v>38</v>
      </c>
      <c r="F29" s="3">
        <f>E29-10</f>
        <v>28</v>
      </c>
      <c r="G29" s="11">
        <f>'Cooling Load'!$F$33</f>
        <v>29.675498504452051</v>
      </c>
      <c r="H29" s="14">
        <f>G29*1.15</f>
        <v>34.126823280119858</v>
      </c>
      <c r="I29" s="14">
        <f>'Cooling Load'!$H$33</f>
        <v>22.681488904109589</v>
      </c>
      <c r="J29" s="110">
        <f>'Cooling Load'!H21</f>
        <v>7.5500000000000012E-3</v>
      </c>
      <c r="K29" s="109">
        <f>'Cooling Load'!H27</f>
        <v>35.560500000000005</v>
      </c>
      <c r="L29" s="98">
        <f>I29/H29</f>
        <v>0.66462350503401235</v>
      </c>
      <c r="M29" s="97">
        <f>(1-(1-L29))*(1-$D$8)</f>
        <v>0.63139232978231175</v>
      </c>
      <c r="N29" s="43">
        <f>69+15</f>
        <v>84</v>
      </c>
      <c r="O29" s="15">
        <f>-0.00002515*N29^3+0.0100767*N29^2-1.45844836*N29+82.96962576</f>
        <v>16.654653119999992</v>
      </c>
      <c r="P29" s="15">
        <f>$G$29/(O29*1000)</f>
        <v>1.7818142647964118E-3</v>
      </c>
      <c r="Q29" s="15">
        <f>O29</f>
        <v>16.654653119999992</v>
      </c>
      <c r="R29" s="15">
        <f>($I29/Q29)/1000</f>
        <v>1.3618709882868819E-3</v>
      </c>
      <c r="S29" s="24">
        <f>P29-R29+$J29</f>
        <v>7.9699432765095307E-3</v>
      </c>
      <c r="T29" s="16">
        <f>S29/$D29</f>
        <v>7.9699432765095307E-3</v>
      </c>
      <c r="U29" s="14">
        <f>P29*$Q$10</f>
        <v>5.1482180883915722</v>
      </c>
      <c r="V29" s="14">
        <f>R29*$M29*$Q$7*$D$11</f>
        <v>3.0074887382482425</v>
      </c>
      <c r="W29" s="14">
        <f>U29-V29+$K29</f>
        <v>37.701229350143336</v>
      </c>
      <c r="X29" s="44">
        <f>W29/$D29</f>
        <v>37.701229350143336</v>
      </c>
      <c r="Y29" s="43">
        <f>96+15</f>
        <v>111</v>
      </c>
      <c r="Z29" s="15">
        <f>-0.00002515*Y29^3+0.0100767*Y29^2-1.45844836*Y29+82.96962576</f>
        <v>10.840958850000007</v>
      </c>
      <c r="AA29" s="15">
        <f>$G$29/(Z29*1000)</f>
        <v>2.7373499812197916E-3</v>
      </c>
      <c r="AB29" s="15">
        <f>Z29</f>
        <v>10.840958850000007</v>
      </c>
      <c r="AC29" s="15">
        <f>($I29/AB29)/1000</f>
        <v>2.0922032098765484E-3</v>
      </c>
      <c r="AD29" s="24">
        <f>AA29-AC29+$J29</f>
        <v>8.1951467713432449E-3</v>
      </c>
      <c r="AE29" s="16">
        <f>AD29/$D29</f>
        <v>8.1951467713432449E-3</v>
      </c>
      <c r="AF29" s="14">
        <f>AA29*$R$10</f>
        <v>7.9669323432833368</v>
      </c>
      <c r="AG29" s="14">
        <f>AC29*$M29*$R$7*$D$11</f>
        <v>4.6541267074208479</v>
      </c>
      <c r="AH29" s="14">
        <f>AF29-AG29+$K29</f>
        <v>38.873305635862494</v>
      </c>
      <c r="AI29" s="44">
        <f>AH29/$D29</f>
        <v>38.873305635862494</v>
      </c>
      <c r="AJ29" s="43">
        <f>89+15</f>
        <v>104</v>
      </c>
      <c r="AK29" s="15">
        <f>-0.00002515*AJ29^3+0.0100767*AJ29^2-1.45844836*AJ29+82.96962576</f>
        <v>11.990253919999972</v>
      </c>
      <c r="AL29" s="15">
        <f>$G$29/(AK29*1000)</f>
        <v>2.4749683119681689E-3</v>
      </c>
      <c r="AM29" s="15">
        <f>AK29</f>
        <v>11.990253919999972</v>
      </c>
      <c r="AN29" s="15">
        <f>($I29/AM29)/1000</f>
        <v>1.8916604315006569E-3</v>
      </c>
      <c r="AO29" s="24">
        <f>AL29-AN29+$J29</f>
        <v>8.1333078804675125E-3</v>
      </c>
      <c r="AP29" s="16">
        <f>AO29/$D29</f>
        <v>8.1333078804675125E-3</v>
      </c>
      <c r="AQ29" s="14">
        <f>AL29*$Q$10</f>
        <v>7.150956687018291</v>
      </c>
      <c r="AR29" s="14">
        <f>AN29*$M29*$S$7*$D$11</f>
        <v>4.2780035705189468</v>
      </c>
      <c r="AS29" s="14">
        <f>AQ29-AR29+$K29</f>
        <v>38.433453116499351</v>
      </c>
      <c r="AT29" s="44">
        <f>AS29/$D29</f>
        <v>38.433453116499351</v>
      </c>
      <c r="AU29" s="43">
        <f>88+15</f>
        <v>103</v>
      </c>
      <c r="AV29" s="15">
        <f>-0.00002515*AU29^3+0.0100767*AU29^2-1.45844836*AU29+82.96962576</f>
        <v>12.171070929999985</v>
      </c>
      <c r="AW29" s="178">
        <f>$G$29/(AV29*1000)</f>
        <v>2.4381994546844765E-3</v>
      </c>
      <c r="AX29" s="15">
        <f>AV29</f>
        <v>12.171070929999985</v>
      </c>
      <c r="AY29" s="15">
        <f>($I29/AX29)/1000</f>
        <v>1.8635573676760767E-3</v>
      </c>
      <c r="AZ29" s="24">
        <f>AW29-AY29+$J29</f>
        <v>8.1246420870084018E-3</v>
      </c>
      <c r="BA29" s="16">
        <f>AZ29/$D29</f>
        <v>8.1246420870084018E-3</v>
      </c>
      <c r="BB29" s="14">
        <f>AW29*$S$10</f>
        <v>7.2142909958868371</v>
      </c>
      <c r="BC29" s="14">
        <f>AY29*$M29*$T$7*$D$11</f>
        <v>4.3155773852610597</v>
      </c>
      <c r="BD29" s="14">
        <f>BB29-BC29+$K29</f>
        <v>38.459213610625781</v>
      </c>
      <c r="BE29" s="44">
        <f>BD29/$D29</f>
        <v>38.459213610625781</v>
      </c>
      <c r="BF29" s="43">
        <f>83+15</f>
        <v>98</v>
      </c>
      <c r="BG29" s="15">
        <f>-0.00002515*BF29^3+0.0100767*BF29^2-1.45844836*BF29+82.96962576</f>
        <v>13.147334479999984</v>
      </c>
      <c r="BH29" s="15">
        <f>$G$29/(BG29*1000)</f>
        <v>2.2571494282430465E-3</v>
      </c>
      <c r="BI29" s="15">
        <f>BG29</f>
        <v>13.147334479999984</v>
      </c>
      <c r="BJ29" s="15">
        <f>($I29/BI29)/1000</f>
        <v>1.7251777490420717E-3</v>
      </c>
      <c r="BK29" s="24">
        <f>BH29-BJ29+$J29</f>
        <v>8.0819716792009753E-3</v>
      </c>
      <c r="BL29" s="16">
        <f>BK29/$D29</f>
        <v>8.0819716792009753E-3</v>
      </c>
      <c r="BM29" s="14">
        <f>BH29*$T$10</f>
        <v>6.8388474530624412</v>
      </c>
      <c r="BN29" s="14">
        <f>BJ29*$M29*$U$7*$D$11</f>
        <v>3.9126238115651026</v>
      </c>
      <c r="BO29" s="14">
        <f>BM29-BN29+$K29</f>
        <v>38.486723641497342</v>
      </c>
      <c r="BP29" s="44">
        <f>BO29/$D29</f>
        <v>38.486723641497342</v>
      </c>
      <c r="BQ29" s="43">
        <f>86+15</f>
        <v>101</v>
      </c>
      <c r="BR29" s="15">
        <f>-0.00002515*BQ29^3+0.0100767*BQ29^2-1.45844836*BQ29+82.96962576</f>
        <v>12.546687949999992</v>
      </c>
      <c r="BS29" s="15">
        <f>$G$29/(BR29*1000)</f>
        <v>2.3652057517260616E-3</v>
      </c>
      <c r="BT29" s="15">
        <f>BR29</f>
        <v>12.546687949999992</v>
      </c>
      <c r="BU29" s="15">
        <f>($I29/BT29)/1000</f>
        <v>1.8077670373645982E-3</v>
      </c>
      <c r="BV29" s="24">
        <f>BS29-BU29+$J29</f>
        <v>8.1074387143614639E-3</v>
      </c>
      <c r="BW29" s="16">
        <f>BV29/$D29</f>
        <v>8.1074387143614639E-3</v>
      </c>
      <c r="BX29" s="14">
        <f>BS29*$U$10</f>
        <v>7.0182629422491614</v>
      </c>
      <c r="BY29" s="14">
        <f>BU29*$M29*$V$7*$D$11</f>
        <v>4.2416665990582798</v>
      </c>
      <c r="BZ29" s="14">
        <f>BX29-BY29+$K29</f>
        <v>38.337096343190886</v>
      </c>
      <c r="CA29" s="44">
        <f>BZ29/$D29</f>
        <v>38.337096343190886</v>
      </c>
      <c r="CB29" s="43">
        <f>83+15</f>
        <v>98</v>
      </c>
      <c r="CC29" s="15">
        <f>-0.00002515*CB29^3+0.0100767*CB29^2-1.45844836*CB29+82.96962576</f>
        <v>13.147334479999984</v>
      </c>
      <c r="CD29" s="15">
        <f>$G$29/(CC29*1000)</f>
        <v>2.2571494282430465E-3</v>
      </c>
      <c r="CE29" s="15">
        <f>CC29</f>
        <v>13.147334479999984</v>
      </c>
      <c r="CF29" s="15">
        <f>($I29/CE29)/1000</f>
        <v>1.7251777490420717E-3</v>
      </c>
      <c r="CG29" s="24">
        <f>CD29-CF29+$J29</f>
        <v>8.0819716792009753E-3</v>
      </c>
      <c r="CH29" s="16">
        <f>CG29/$D29</f>
        <v>8.0819716792009753E-3</v>
      </c>
      <c r="CI29" s="14">
        <f>CD29*$V$10</f>
        <v>6.9291640035700244</v>
      </c>
      <c r="CJ29" s="14">
        <f>CF29*$M29*$W$7*$D$11</f>
        <v>4.0902943949721529</v>
      </c>
      <c r="CK29" s="14">
        <f>CI29-CJ29+$K29</f>
        <v>38.39936960859788</v>
      </c>
      <c r="CL29" s="44">
        <f>CK29/$D29</f>
        <v>38.39936960859788</v>
      </c>
      <c r="CM29" s="43">
        <f>94+15</f>
        <v>109</v>
      </c>
      <c r="CN29" s="15">
        <f>-0.00002515*CM29^3+0.0100767*CM29^2-1.45844836*CM29+82.96962576</f>
        <v>11.150047869999966</v>
      </c>
      <c r="CO29" s="15">
        <f>$G$29/(CN29*1000)</f>
        <v>2.6614682600866846E-3</v>
      </c>
      <c r="CP29" s="15">
        <f>CN29</f>
        <v>11.150047869999966</v>
      </c>
      <c r="CQ29" s="15">
        <f>($I29/CP29)/1000</f>
        <v>2.0342055180889241E-3</v>
      </c>
      <c r="CR29" s="24">
        <f>CO29-CQ29+$J29</f>
        <v>8.1772627419977612E-3</v>
      </c>
      <c r="CS29" s="16">
        <f>CR29/$D29</f>
        <v>8.1772627419977612E-3</v>
      </c>
      <c r="CT29" s="14">
        <f>CO29*$W$10</f>
        <v>8.2559769818671018</v>
      </c>
      <c r="CU29" s="14">
        <f>CQ29*$M29*$X$7*$D$11</f>
        <v>4.8018386846227621</v>
      </c>
      <c r="CV29" s="14">
        <f>CT29-CU29+$K29</f>
        <v>39.014638297244346</v>
      </c>
      <c r="CW29" s="44">
        <f>CV29/$D29</f>
        <v>39.014638297244346</v>
      </c>
      <c r="CX29" s="43">
        <f>96+15</f>
        <v>111</v>
      </c>
      <c r="CY29" s="15">
        <f>-0.00002515*CX29^3+0.0100767*CX29^2-1.45844836*CX29+82.96962576</f>
        <v>10.840958850000007</v>
      </c>
      <c r="CZ29" s="15">
        <f>$G$29/(CY29*1000)</f>
        <v>2.7373499812197916E-3</v>
      </c>
      <c r="DA29" s="15">
        <f>CY29</f>
        <v>10.840958850000007</v>
      </c>
      <c r="DB29" s="15">
        <f>($I29/DA29)/1000</f>
        <v>2.0922032098765484E-3</v>
      </c>
      <c r="DC29" s="24">
        <f>CZ29-DB29+$J29</f>
        <v>8.1951467713432449E-3</v>
      </c>
      <c r="DD29" s="16">
        <f>DC29/$D29</f>
        <v>8.1951467713432449E-3</v>
      </c>
      <c r="DE29" s="14">
        <f>CZ29*$X$10</f>
        <v>8.4541418105816941</v>
      </c>
      <c r="DF29" s="14">
        <f>DB29*$M29*$Y$7*$D$11</f>
        <v>4.8890866043185861</v>
      </c>
      <c r="DG29" s="14">
        <f>DE29-DF29+$K29</f>
        <v>39.125555206263115</v>
      </c>
      <c r="DH29" s="44">
        <f>DG29/$D29</f>
        <v>39.125555206263115</v>
      </c>
      <c r="DI29" s="43">
        <f>100+15</f>
        <v>115</v>
      </c>
      <c r="DJ29" s="15">
        <f>-0.00002515*DI29^3+0.0100767*DI29^2-1.45844836*DI29+82.96962576</f>
        <v>10.262415609999962</v>
      </c>
      <c r="DK29" s="15">
        <f>$G$29/(DJ29*1000)</f>
        <v>2.8916679690438071E-3</v>
      </c>
      <c r="DL29" s="15">
        <f>DJ29</f>
        <v>10.262415609999962</v>
      </c>
      <c r="DM29" s="15">
        <f>($I29/DL29)/1000</f>
        <v>2.2101510761275501E-3</v>
      </c>
      <c r="DN29" s="24">
        <f>DK29-DM29+$J29</f>
        <v>8.2315168929162578E-3</v>
      </c>
      <c r="DO29" s="16">
        <f>DN29/$D29</f>
        <v>8.2315168929162578E-3</v>
      </c>
      <c r="DP29" s="14">
        <f>DK29*$Y$10</f>
        <v>8.8409463235579544</v>
      </c>
      <c r="DQ29" s="14">
        <f>DM29*$M29*$Z$7*$D$11</f>
        <v>5.1093330148642702</v>
      </c>
      <c r="DR29" s="14">
        <f>DP29-DQ29+$K29</f>
        <v>39.292113308693686</v>
      </c>
      <c r="DS29" s="44">
        <f>DR29/$D29</f>
        <v>39.292113308693686</v>
      </c>
      <c r="DT29" s="43">
        <f>104+15</f>
        <v>119</v>
      </c>
      <c r="DU29" s="15">
        <f>-0.00002515*DT29^3+0.0100767*DT29^2-1.45844836*DT29+82.96962576</f>
        <v>9.7286707699999653</v>
      </c>
      <c r="DV29" s="15">
        <f>$G$29/(DU29*1000)</f>
        <v>3.050313779346051E-3</v>
      </c>
      <c r="DW29" s="15">
        <f>DU29</f>
        <v>9.7286707699999653</v>
      </c>
      <c r="DX29" s="15">
        <f>($I29/DW29)/1000</f>
        <v>2.331406770804895E-3</v>
      </c>
      <c r="DY29" s="24">
        <f>DV29-DX29+$J29</f>
        <v>8.2689070085411563E-3</v>
      </c>
      <c r="DZ29" s="16">
        <f>DY29/$D29</f>
        <v>8.2689070085411563E-3</v>
      </c>
      <c r="EA29" s="14">
        <f>DV29*$Z$10</f>
        <v>9.2259952909252707</v>
      </c>
      <c r="EB29" s="14">
        <f>DX29*$M29*$AA$7*$D$11</f>
        <v>5.1965476135134923</v>
      </c>
      <c r="EC29" s="14">
        <f>EA29-EB29+$K29</f>
        <v>39.589947677411786</v>
      </c>
      <c r="ED29" s="44">
        <f>EC29/$D29</f>
        <v>39.589947677411786</v>
      </c>
      <c r="EE29" s="43">
        <f>100+15</f>
        <v>115</v>
      </c>
      <c r="EF29" s="15">
        <f>-0.00002515*EE29^3+0.0100767*EE29^2-1.45844836*EE29+82.96962576</f>
        <v>10.262415609999962</v>
      </c>
      <c r="EG29" s="15">
        <f>$G$29/(EF29*1000)</f>
        <v>2.8916679690438071E-3</v>
      </c>
      <c r="EH29" s="15">
        <f>EF29</f>
        <v>10.262415609999962</v>
      </c>
      <c r="EI29" s="15">
        <f>($I29/EH29)/1000</f>
        <v>2.2101510761275501E-3</v>
      </c>
      <c r="EJ29" s="24">
        <f>EG29-EI29+$J29</f>
        <v>8.2315168929162578E-3</v>
      </c>
      <c r="EK29" s="16">
        <f>EJ29/$D29</f>
        <v>8.2315168929162578E-3</v>
      </c>
      <c r="EL29" s="14">
        <f>EG29*$AA$10</f>
        <v>8.4327989261287382</v>
      </c>
      <c r="EM29" s="14">
        <f>EI29*$M29*$AB$7*$D$11</f>
        <v>5.0036852483688277</v>
      </c>
      <c r="EN29" s="14">
        <f>EL29-EM29+$K29</f>
        <v>38.989613677759912</v>
      </c>
      <c r="EO29" s="44">
        <f>EN29/$D29</f>
        <v>38.989613677759912</v>
      </c>
      <c r="EP29" s="43">
        <f>101+15</f>
        <v>116</v>
      </c>
      <c r="EQ29" s="15">
        <f>-0.00002515*EP29^3+0.0100767*EP29^2-1.45844836*EP29+82.96962576</f>
        <v>10.125156799999999</v>
      </c>
      <c r="ER29" s="15">
        <f>$G$29/(EQ29*1000)</f>
        <v>2.9308680438857059E-3</v>
      </c>
      <c r="ES29" s="15">
        <f>EQ29</f>
        <v>10.125156799999999</v>
      </c>
      <c r="ET29" s="15">
        <f>($I29/ES29)/1000</f>
        <v>2.2401123609374217E-3</v>
      </c>
      <c r="EU29" s="24">
        <f>ER29-ET29+$J29</f>
        <v>8.2407556829482854E-3</v>
      </c>
      <c r="EV29" s="16">
        <f>EU29/$D29</f>
        <v>8.2407556829482854E-3</v>
      </c>
      <c r="EW29" s="14">
        <f>ER29*$AB$10</f>
        <v>8.6814196650092388</v>
      </c>
      <c r="EX29" s="14">
        <f>ET29*$M29*$AC$7*$D$11</f>
        <v>5.1882414774570966</v>
      </c>
      <c r="EY29" s="14">
        <f>EW29-EX29+$K29</f>
        <v>39.053678187552144</v>
      </c>
      <c r="EZ29" s="44">
        <f>EY29/$D29</f>
        <v>39.053678187552144</v>
      </c>
      <c r="FA29" s="43">
        <f>103+15</f>
        <v>118</v>
      </c>
      <c r="FB29" s="15">
        <f>-0.00002515*FA29^3+0.0100767*FA29^2-1.45844836*FA29+82.96962576</f>
        <v>9.8584352799999948</v>
      </c>
      <c r="FC29" s="15">
        <f>$G$29/(FB29*1000)</f>
        <v>3.0101631406614124E-3</v>
      </c>
      <c r="FD29" s="15">
        <f>FB29</f>
        <v>9.8584352799999948</v>
      </c>
      <c r="FE29" s="15">
        <f>($I29/FD29)/1000</f>
        <v>2.3007189538611652E-3</v>
      </c>
      <c r="FF29" s="24">
        <f>FC29-FE29+$J29</f>
        <v>8.2594441868002483E-3</v>
      </c>
      <c r="FG29" s="16">
        <f>FF29/$D29</f>
        <v>8.2594441868002483E-3</v>
      </c>
      <c r="FH29" s="14">
        <f>FC29*$AC$10</f>
        <v>9.1215128771774019</v>
      </c>
      <c r="FI29" s="14">
        <f>FE29*$M29*$AD$7*$D$11</f>
        <v>5.2703106515242757</v>
      </c>
      <c r="FJ29" s="14">
        <f>FH29-FI29+$K29</f>
        <v>39.41170222565313</v>
      </c>
      <c r="FK29" s="44">
        <f>FJ29/$D29</f>
        <v>39.41170222565313</v>
      </c>
      <c r="FL29" s="43">
        <f>113+15</f>
        <v>128</v>
      </c>
      <c r="FM29" s="15">
        <f>-0.00002515*FL29^3+0.0100767*FL29^2-1.45844836*FL29+82.96962576</f>
        <v>8.6415156799999835</v>
      </c>
      <c r="FN29" s="15">
        <f>$G$29/(FM29*1000)</f>
        <v>3.4340617552929215E-3</v>
      </c>
      <c r="FO29" s="15">
        <f>FM29</f>
        <v>8.6415156799999835</v>
      </c>
      <c r="FP29" s="15">
        <f>($I29/FO29)/1000</f>
        <v>2.6247118843519398E-3</v>
      </c>
      <c r="FQ29" s="24">
        <f>FN29-FP29+$J29</f>
        <v>8.3593498709409828E-3</v>
      </c>
      <c r="FR29" s="16">
        <f>FQ29/$D29</f>
        <v>8.3593498709409828E-3</v>
      </c>
      <c r="FS29" s="14">
        <f>FN29*$AD$10</f>
        <v>10.29217610537413</v>
      </c>
      <c r="FT29" s="14">
        <f>FP29*$M29*$AE$7*$D$11</f>
        <v>6.6346920870040105</v>
      </c>
      <c r="FU29" s="14">
        <f>FS29-FT29+$K29</f>
        <v>39.217984018370124</v>
      </c>
      <c r="FV29" s="44">
        <f>FU29/$D29</f>
        <v>39.217984018370124</v>
      </c>
      <c r="FW29" s="43">
        <f>85+15</f>
        <v>100</v>
      </c>
      <c r="FX29" s="15">
        <f>-0.00002515*FW29^3+0.0100767*FW29^2-1.45844836*FW29+82.96962576</f>
        <v>12.741789760000003</v>
      </c>
      <c r="FY29" s="15">
        <f>$G$29/(FX29*1000)</f>
        <v>2.3289898093917416E-3</v>
      </c>
      <c r="FZ29" s="15">
        <f>FX29</f>
        <v>12.741789760000003</v>
      </c>
      <c r="GA29" s="15">
        <f>($I29/FZ29)/1000</f>
        <v>1.7800865758524007E-3</v>
      </c>
      <c r="GB29" s="24">
        <f>FY29-GA29+$J29</f>
        <v>8.0989032335393417E-3</v>
      </c>
      <c r="GC29" s="16">
        <f>GB29/$D29</f>
        <v>8.0989032335393417E-3</v>
      </c>
      <c r="GD29" s="14">
        <f>FY29*$AE$10</f>
        <v>7.7025262320042138</v>
      </c>
      <c r="GE29" s="14">
        <f>GA29*$M29*$AF$7*$D$11</f>
        <v>3.7606508381719412</v>
      </c>
      <c r="GF29" s="14">
        <f>GD29-GE29+$K29</f>
        <v>39.502375393832274</v>
      </c>
      <c r="GG29" s="44">
        <f>GF29/$D29</f>
        <v>39.502375393832274</v>
      </c>
    </row>
    <row r="30" spans="2:202" ht="13.8" x14ac:dyDescent="0.25">
      <c r="B30" s="167" t="s">
        <v>151</v>
      </c>
      <c r="C30" s="3" t="s">
        <v>156</v>
      </c>
      <c r="D30" s="3">
        <v>1</v>
      </c>
      <c r="E30" s="3">
        <v>0</v>
      </c>
      <c r="F30" s="3">
        <f>E30-10</f>
        <v>-10</v>
      </c>
      <c r="G30" s="11">
        <f>'Cooling Load'!$F$33</f>
        <v>29.675498504452051</v>
      </c>
      <c r="H30" s="14">
        <f>G30*1.15</f>
        <v>34.126823280119858</v>
      </c>
      <c r="I30" s="14">
        <f>'Cooling Load'!$H$33</f>
        <v>22.681488904109589</v>
      </c>
      <c r="J30" s="110">
        <f>'Cooling Load'!H21</f>
        <v>7.5500000000000012E-3</v>
      </c>
      <c r="K30" s="109">
        <f>'Cooling Load'!H27</f>
        <v>35.560500000000005</v>
      </c>
      <c r="L30" s="98">
        <f>I30/H30</f>
        <v>0.66462350503401235</v>
      </c>
      <c r="M30" s="97">
        <f>(1-(1-L30))*(1-$E$8)</f>
        <v>0.59816115453061114</v>
      </c>
      <c r="N30" s="43">
        <f>69+10</f>
        <v>79</v>
      </c>
      <c r="O30" s="15">
        <f>0.00000491*N30^3-0.00107023*N30^2-0.03013591*N30+15.74788397</f>
        <v>9.1086631400000009</v>
      </c>
      <c r="P30" s="15">
        <f>$G$30/(O30*1000)</f>
        <v>3.2579422521549139E-3</v>
      </c>
      <c r="Q30" s="15">
        <f>O30</f>
        <v>9.1086631400000009</v>
      </c>
      <c r="R30" s="15">
        <f>($I30/Q30)/1000</f>
        <v>2.4901007486494427E-3</v>
      </c>
      <c r="S30" s="24">
        <f>P30-R30+$J30</f>
        <v>8.3178415035054729E-3</v>
      </c>
      <c r="T30" s="16">
        <f>S30/$D30</f>
        <v>8.3178415035054729E-3</v>
      </c>
      <c r="U30" s="14">
        <f>P30*$Q$11</f>
        <v>8.9177807541283727</v>
      </c>
      <c r="V30" s="14">
        <f>R30*$M30*$Q$7*$E$11</f>
        <v>5.2095938298890614</v>
      </c>
      <c r="W30" s="14">
        <f>U30-V30+$K30</f>
        <v>39.268686924239319</v>
      </c>
      <c r="X30" s="44">
        <f>W30/$D30</f>
        <v>39.268686924239319</v>
      </c>
      <c r="Y30" s="43">
        <f>96+10</f>
        <v>106</v>
      </c>
      <c r="Z30" s="15">
        <f>0.00000491*Y30^3-0.00107023*Y30^2-0.03013591*Y30+15.74788397</f>
        <v>6.3762617900000009</v>
      </c>
      <c r="AA30" s="15">
        <f>$G$30/(Z30*1000)</f>
        <v>4.6540589897034398E-3</v>
      </c>
      <c r="AB30" s="15">
        <f>Z30</f>
        <v>6.3762617900000009</v>
      </c>
      <c r="AC30" s="15">
        <f>($I30/AB30)/1000</f>
        <v>3.5571765481275173E-3</v>
      </c>
      <c r="AD30" s="24">
        <f>AA30-AC30+$J30</f>
        <v>8.6468824415759232E-3</v>
      </c>
      <c r="AE30" s="16">
        <f>AD30/$D30</f>
        <v>8.6468824415759232E-3</v>
      </c>
      <c r="AF30" s="14">
        <f>AA30*$R$11</f>
        <v>12.832509356360816</v>
      </c>
      <c r="AG30" s="14">
        <f>AC30*$M30*$R$7*$E$11</f>
        <v>7.4965020343141555</v>
      </c>
      <c r="AH30" s="14">
        <f>AF30-AG30+$K30</f>
        <v>40.896507322046666</v>
      </c>
      <c r="AI30" s="44">
        <f>AH30/$D30</f>
        <v>40.896507322046666</v>
      </c>
      <c r="AJ30" s="43">
        <f>89+10</f>
        <v>99</v>
      </c>
      <c r="AK30" s="15">
        <f>0.00000491*AJ30^3-0.00107023*AJ30^2-0.03013591*AJ30+15.74788397</f>
        <v>7.0392727400000012</v>
      </c>
      <c r="AL30" s="15">
        <f>$G$30/(AK30*1000)</f>
        <v>4.2157051730392315E-3</v>
      </c>
      <c r="AM30" s="15">
        <f>AK30</f>
        <v>7.0392727400000012</v>
      </c>
      <c r="AN30" s="15">
        <f>($I30/AM30)/1000</f>
        <v>3.2221352605396542E-3</v>
      </c>
      <c r="AO30" s="24">
        <f>AL30-AN30+$J30</f>
        <v>8.5435699124995785E-3</v>
      </c>
      <c r="AP30" s="16">
        <f>AO30/$D30</f>
        <v>8.5435699124995785E-3</v>
      </c>
      <c r="AQ30" s="14">
        <f>AL30*$Q$11</f>
        <v>11.539410937177367</v>
      </c>
      <c r="AR30" s="14">
        <f>AN30*$M30*$S$7*$E$11</f>
        <v>6.9033617950095527</v>
      </c>
      <c r="AS30" s="14">
        <f>AQ30-AR30+$K30</f>
        <v>40.196549142167818</v>
      </c>
      <c r="AT30" s="44">
        <f>AS30/$D30</f>
        <v>40.196549142167818</v>
      </c>
      <c r="AU30" s="43">
        <f>88+10</f>
        <v>98</v>
      </c>
      <c r="AV30" s="15">
        <f>0.00000491*AU30^3-0.00107023*AU30^2-0.03013591*AU30+15.74788397</f>
        <v>7.137328590000001</v>
      </c>
      <c r="AW30" s="178">
        <f>$G$30/(AV30*1000)</f>
        <v>4.1577879076535621E-3</v>
      </c>
      <c r="AX30" s="15">
        <f>AV30</f>
        <v>7.137328590000001</v>
      </c>
      <c r="AY30" s="15">
        <f>($I30/AX30)/1000</f>
        <v>3.1778681082286538E-3</v>
      </c>
      <c r="AZ30" s="24">
        <f>AW30-AY30+$J30</f>
        <v>8.5299197994249086E-3</v>
      </c>
      <c r="BA30" s="16">
        <f>AZ30/$D30</f>
        <v>8.5299197994249086E-3</v>
      </c>
      <c r="BB30" s="14">
        <f>AW30*$S$11</f>
        <v>11.6548224601716</v>
      </c>
      <c r="BC30" s="14">
        <f>AY30*$M30*$T$7*$E$11</f>
        <v>6.9718962358221681</v>
      </c>
      <c r="BD30" s="14">
        <f>BB30-BC30+$K30</f>
        <v>40.243426224349435</v>
      </c>
      <c r="BE30" s="44">
        <f>BD30/$D30</f>
        <v>40.243426224349435</v>
      </c>
      <c r="BF30" s="43">
        <f>83+10</f>
        <v>93</v>
      </c>
      <c r="BG30" s="15">
        <f>0.00000491*BF30^3-0.00107023*BF30^2-0.03013591*BF30+15.74788397</f>
        <v>7.6382179400000023</v>
      </c>
      <c r="BH30" s="15">
        <f>$G$30/(BG30*1000)</f>
        <v>3.8851337756476796E-3</v>
      </c>
      <c r="BI30" s="15">
        <f>BG30</f>
        <v>7.6382179400000023</v>
      </c>
      <c r="BJ30" s="15">
        <f>($I30/BI30)/1000</f>
        <v>2.969473911621535E-3</v>
      </c>
      <c r="BK30" s="24">
        <f>BH30-BJ30+$J30</f>
        <v>8.4656598640261461E-3</v>
      </c>
      <c r="BL30" s="16">
        <f>BK30/$D30</f>
        <v>8.4656598640261461E-3</v>
      </c>
      <c r="BM30" s="14">
        <f>BH30*$T$11</f>
        <v>11.151864571229815</v>
      </c>
      <c r="BN30" s="14">
        <f>BJ30*$M30*$U$7*$E$11</f>
        <v>6.3801760697563319</v>
      </c>
      <c r="BO30" s="14">
        <f>BM30-BN30+$K30</f>
        <v>40.332188501473489</v>
      </c>
      <c r="BP30" s="44">
        <f>BO30/$D30</f>
        <v>40.332188501473489</v>
      </c>
      <c r="BQ30" s="43">
        <f>86+10</f>
        <v>96</v>
      </c>
      <c r="BR30" s="15">
        <f>0.00000491*BQ30^3-0.00107023*BQ30^2-0.03013591*BQ30+15.74788397</f>
        <v>7.3356506900000014</v>
      </c>
      <c r="BS30" s="15">
        <f>$G$30/(BR30*1000)</f>
        <v>4.0453805338503714E-3</v>
      </c>
      <c r="BT30" s="15">
        <f>BR30</f>
        <v>7.3356506900000014</v>
      </c>
      <c r="BU30" s="15">
        <f>($I30/BT30)/1000</f>
        <v>3.0919532380445976E-3</v>
      </c>
      <c r="BV30" s="24">
        <f>BS30-BU30+$J30</f>
        <v>8.5034272958057749E-3</v>
      </c>
      <c r="BW30" s="16">
        <f>BV30/$D30</f>
        <v>8.5034272958057749E-3</v>
      </c>
      <c r="BX30" s="14">
        <f>BS30*$U$11</f>
        <v>11.37205609438282</v>
      </c>
      <c r="BY30" s="14">
        <f>BU30*$M30*$V$7*$E$11</f>
        <v>6.8729927754320199</v>
      </c>
      <c r="BZ30" s="14">
        <f>BX30-BY30+$K30</f>
        <v>40.059563318950808</v>
      </c>
      <c r="CA30" s="44">
        <f>BZ30/$D30</f>
        <v>40.059563318950808</v>
      </c>
      <c r="CB30" s="43">
        <f>83+10</f>
        <v>93</v>
      </c>
      <c r="CC30" s="15">
        <f>0.00000491*CB30^3-0.00107023*CB30^2-0.03013591*CB30+15.74788397</f>
        <v>7.6382179400000023</v>
      </c>
      <c r="CD30" s="15">
        <f>$G$30/(CC30*1000)</f>
        <v>3.8851337756476796E-3</v>
      </c>
      <c r="CE30" s="15">
        <f>CC30</f>
        <v>7.6382179400000023</v>
      </c>
      <c r="CF30" s="15">
        <f>($I30/CE30)/1000</f>
        <v>2.969473911621535E-3</v>
      </c>
      <c r="CG30" s="24">
        <f>CD30-CF30+$J30</f>
        <v>8.4656598640261461E-3</v>
      </c>
      <c r="CH30" s="16">
        <f>CG30/$D30</f>
        <v>8.4656598640261461E-3</v>
      </c>
      <c r="CI30" s="14">
        <f>CD30*$V$11</f>
        <v>11.299140548170957</v>
      </c>
      <c r="CJ30" s="14">
        <f>CF30*$M30*$W$7*$E$11</f>
        <v>6.6698971518605346</v>
      </c>
      <c r="CK30" s="14">
        <f>CI30-CJ30+$K30</f>
        <v>40.189743396310426</v>
      </c>
      <c r="CL30" s="44">
        <f>CK30/$D30</f>
        <v>40.189743396310426</v>
      </c>
      <c r="CM30" s="43">
        <f>94+10</f>
        <v>104</v>
      </c>
      <c r="CN30" s="15">
        <f>0.00000491*CM30^3-0.00107023*CM30^2-0.03013591*CM30+15.74788397</f>
        <v>6.5612238900000026</v>
      </c>
      <c r="CO30" s="15">
        <f>$G$30/(CN30*1000)</f>
        <v>4.5228602166252308E-3</v>
      </c>
      <c r="CP30" s="15">
        <f>CN30</f>
        <v>6.5612238900000026</v>
      </c>
      <c r="CQ30" s="15">
        <f>($I30/CP30)/1000</f>
        <v>3.4568990914452058E-3</v>
      </c>
      <c r="CR30" s="24">
        <f>CO30-CQ30+$J30</f>
        <v>8.6159611251800262E-3</v>
      </c>
      <c r="CS30" s="16">
        <f>CR30/$D30</f>
        <v>8.6159611251800262E-3</v>
      </c>
      <c r="CT30" s="14">
        <f>CO30*$W$11</f>
        <v>13.291660871471375</v>
      </c>
      <c r="CU30" s="14">
        <f>CQ30*$M30*$X$7*$E$11</f>
        <v>7.7306915336244009</v>
      </c>
      <c r="CV30" s="14">
        <f>CT30-CU30+$K30</f>
        <v>41.121469337846982</v>
      </c>
      <c r="CW30" s="44">
        <f>CV30/$D30</f>
        <v>41.121469337846982</v>
      </c>
      <c r="CX30" s="43">
        <f>96+10</f>
        <v>106</v>
      </c>
      <c r="CY30" s="15">
        <f>0.00000491*CX30^3-0.00107023*CX30^2-0.03013591*CX30+15.74788397</f>
        <v>6.3762617900000009</v>
      </c>
      <c r="CZ30" s="15">
        <f>$G$30/(CY30*1000)</f>
        <v>4.6540589897034398E-3</v>
      </c>
      <c r="DA30" s="15">
        <f>CY30</f>
        <v>6.3762617900000009</v>
      </c>
      <c r="DB30" s="15">
        <f>($I30/DA30)/1000</f>
        <v>3.5571765481275173E-3</v>
      </c>
      <c r="DC30" s="24">
        <f>CZ30-DB30+$J30</f>
        <v>8.6468824415759232E-3</v>
      </c>
      <c r="DD30" s="16">
        <f>DC30/$D30</f>
        <v>8.6468824415759232E-3</v>
      </c>
      <c r="DE30" s="14">
        <f>CZ30*$X$11</f>
        <v>13.617268129025012</v>
      </c>
      <c r="DF30" s="14">
        <f>DB30*$M30*$Y$7*$E$11</f>
        <v>7.8749569960726502</v>
      </c>
      <c r="DG30" s="14">
        <f>DE30-DF30+$K30</f>
        <v>41.302811132952364</v>
      </c>
      <c r="DH30" s="44">
        <f>DG30/$D30</f>
        <v>41.302811132952364</v>
      </c>
      <c r="DI30" s="43">
        <f>100+10</f>
        <v>110</v>
      </c>
      <c r="DJ30" s="15">
        <f>0.00000491*DI30^3-0.00107023*DI30^2-0.03013591*DI30+15.74788397</f>
        <v>6.0183608700000022</v>
      </c>
      <c r="DK30" s="15">
        <f>$G$30/(DJ30*1000)</f>
        <v>4.9308273706844099E-3</v>
      </c>
      <c r="DL30" s="15">
        <f>DJ30</f>
        <v>6.0183608700000022</v>
      </c>
      <c r="DM30" s="15">
        <f>($I30/DL30)/1000</f>
        <v>3.7687153352952028E-3</v>
      </c>
      <c r="DN30" s="24">
        <f>DK30-DM30+$J30</f>
        <v>8.7121120353892082E-3</v>
      </c>
      <c r="DO30" s="16">
        <f>DN30/$D30</f>
        <v>8.7121120353892082E-3</v>
      </c>
      <c r="DP30" s="14">
        <f>DK30*$Y$11</f>
        <v>14.282000096927003</v>
      </c>
      <c r="DQ30" s="14">
        <f>DM30*$M30*$Z$7*$E$11</f>
        <v>8.2538103889490859</v>
      </c>
      <c r="DR30" s="14">
        <f>DP30-DQ30+$K30</f>
        <v>41.58868970797792</v>
      </c>
      <c r="DS30" s="44">
        <f>DR30/$D30</f>
        <v>41.58868970797792</v>
      </c>
      <c r="DT30" s="43">
        <f>104+10</f>
        <v>114</v>
      </c>
      <c r="DU30" s="15">
        <f>0.00000491*DT30^3-0.00107023*DT30^2-0.03013591*DT30+15.74788397</f>
        <v>5.6780621900000021</v>
      </c>
      <c r="DV30" s="15">
        <f>$G$30/(DU30*1000)</f>
        <v>5.2263426344141611E-3</v>
      </c>
      <c r="DW30" s="15">
        <f>DU30</f>
        <v>5.6780621900000021</v>
      </c>
      <c r="DX30" s="15">
        <f>($I30/DW30)/1000</f>
        <v>3.9945826842219881E-3</v>
      </c>
      <c r="DY30" s="24">
        <f>DV30-DX30+$J30</f>
        <v>8.781759950192175E-3</v>
      </c>
      <c r="DZ30" s="16">
        <f>DY30/$D30</f>
        <v>8.781759950192175E-3</v>
      </c>
      <c r="EA30" s="14">
        <f>DV30*$Z$11</f>
        <v>14.975643549688561</v>
      </c>
      <c r="EB30" s="14">
        <f>DX30*$M30*$AA$7*$E$11</f>
        <v>8.4350405885756867</v>
      </c>
      <c r="EC30" s="14">
        <f>EA30-EB30+$K30</f>
        <v>42.101102961112879</v>
      </c>
      <c r="ED30" s="44">
        <f>EC30/$D30</f>
        <v>42.101102961112879</v>
      </c>
      <c r="EE30" s="43">
        <f>100+10</f>
        <v>110</v>
      </c>
      <c r="EF30" s="15">
        <f>0.00000491*EE30^3-0.00107023*EE30^2-0.03013591*EE30+15.74788397</f>
        <v>6.0183608700000022</v>
      </c>
      <c r="EG30" s="15">
        <f>$G$30/(EF30*1000)</f>
        <v>4.9308273706844099E-3</v>
      </c>
      <c r="EH30" s="15">
        <f>EF30</f>
        <v>6.0183608700000022</v>
      </c>
      <c r="EI30" s="15">
        <f>($I30/EH30)/1000</f>
        <v>3.7687153352952028E-3</v>
      </c>
      <c r="EJ30" s="24">
        <f>EG30-EI30+$J30</f>
        <v>8.7121120353892082E-3</v>
      </c>
      <c r="EK30" s="16">
        <f>EJ30/$D30</f>
        <v>8.7121120353892082E-3</v>
      </c>
      <c r="EL30" s="14">
        <f>EG30*$AA$11</f>
        <v>13.62266330691484</v>
      </c>
      <c r="EM30" s="14">
        <f>EI30*$M30*$AB$7*$E$11</f>
        <v>8.0831429789109244</v>
      </c>
      <c r="EN30" s="14">
        <f>EL30-EM30+$K30</f>
        <v>41.100020328003922</v>
      </c>
      <c r="EO30" s="44">
        <f>EN30/$D30</f>
        <v>41.100020328003922</v>
      </c>
      <c r="EP30" s="43">
        <f>101+10</f>
        <v>111</v>
      </c>
      <c r="EQ30" s="15">
        <f>0.00000491*EP30^3-0.00107023*EP30^2-0.03013591*EP30+15.74788397</f>
        <v>5.9315623400000028</v>
      </c>
      <c r="ER30" s="15">
        <f>$G$30/(EQ30*1000)</f>
        <v>5.0029818121159683E-3</v>
      </c>
      <c r="ES30" s="15">
        <f>EQ30</f>
        <v>5.9315623400000028</v>
      </c>
      <c r="ET30" s="15">
        <f>($I30/ES30)/1000</f>
        <v>3.8238642037284189E-3</v>
      </c>
      <c r="EU30" s="24">
        <f>ER30-ET30+$J30</f>
        <v>8.7291176083875502E-3</v>
      </c>
      <c r="EV30" s="16">
        <f>EU30/$D30</f>
        <v>8.7291176083875502E-3</v>
      </c>
      <c r="EW30" s="14">
        <f>ER30*$AB$11</f>
        <v>14.039198458877351</v>
      </c>
      <c r="EX30" s="14">
        <f>ET30*$M30*$AC$7*$E$11</f>
        <v>8.3901889973339632</v>
      </c>
      <c r="EY30" s="14">
        <f>EW30-EX30+$K30</f>
        <v>41.209509461543391</v>
      </c>
      <c r="EZ30" s="44">
        <f>EY30/$D30</f>
        <v>41.209509461543391</v>
      </c>
      <c r="FA30" s="43">
        <f>103+10</f>
        <v>113</v>
      </c>
      <c r="FB30" s="15">
        <f>0.00000491*FA30^3-0.00107023*FA30^2-0.03013591*FA30+15.74788397</f>
        <v>5.7613835400000024</v>
      </c>
      <c r="FC30" s="15">
        <f>$G$30/(FB30*1000)</f>
        <v>5.1507590665370003E-3</v>
      </c>
      <c r="FD30" s="15">
        <f>FB30</f>
        <v>5.7613835400000024</v>
      </c>
      <c r="FE30" s="15">
        <f>($I30/FD30)/1000</f>
        <v>3.9368128760456688E-3</v>
      </c>
      <c r="FF30" s="24">
        <f>FC30-FE30+$J30</f>
        <v>8.7639461904913327E-3</v>
      </c>
      <c r="FG30" s="16">
        <f>FF30/$D30</f>
        <v>8.7639461904913327E-3</v>
      </c>
      <c r="FH30" s="14">
        <f>FC30*$AC$11</f>
        <v>14.786554279963973</v>
      </c>
      <c r="FI30" s="14">
        <f>FE30*$M30*$AD$7*$E$11</f>
        <v>8.5435097850950861</v>
      </c>
      <c r="FJ30" s="14">
        <f>FH30-FI30+$K30</f>
        <v>41.803544494868888</v>
      </c>
      <c r="FK30" s="44">
        <f>FJ30/$D30</f>
        <v>41.803544494868888</v>
      </c>
      <c r="FL30" s="43">
        <f>113+10</f>
        <v>123</v>
      </c>
      <c r="FM30" s="15">
        <f>0.00000491*FL30^3-0.00107023*FL30^2-0.03013591*FL30+15.74788397</f>
        <v>4.9865143400000029</v>
      </c>
      <c r="FN30" s="15">
        <f>$G$30/(FM30*1000)</f>
        <v>5.9511507399880514E-3</v>
      </c>
      <c r="FO30" s="15">
        <f>FM30</f>
        <v>4.9865143400000029</v>
      </c>
      <c r="FP30" s="15">
        <f>($I30/FO30)/1000</f>
        <v>4.5485658633661078E-3</v>
      </c>
      <c r="FQ30" s="24">
        <f>FN30-FP30+$J30</f>
        <v>8.9525848766219447E-3</v>
      </c>
      <c r="FR30" s="16">
        <f>FQ30/$D30</f>
        <v>8.9525848766219447E-3</v>
      </c>
      <c r="FS30" s="14">
        <f>FN30*$AD$11</f>
        <v>16.897364121766469</v>
      </c>
      <c r="FT30" s="14">
        <f>FP30*$M30*$AE$7*$E$11</f>
        <v>10.892624347087402</v>
      </c>
      <c r="FU30" s="14">
        <f>FS30-FT30+$K30</f>
        <v>41.565239774679071</v>
      </c>
      <c r="FV30" s="44">
        <f>FU30/$D30</f>
        <v>41.565239774679071</v>
      </c>
      <c r="FW30" s="43">
        <f>85+10</f>
        <v>95</v>
      </c>
      <c r="FX30" s="15">
        <f>0.00000491*FW30^3-0.00107023*FW30^2-0.03013591*FW30+15.74788397</f>
        <v>7.4358580200000013</v>
      </c>
      <c r="FY30" s="15">
        <f>$G$30/(FX30*1000)</f>
        <v>3.990864056929915E-3</v>
      </c>
      <c r="FZ30" s="15">
        <f>FX30</f>
        <v>7.4358580200000013</v>
      </c>
      <c r="GA30" s="15">
        <f>($I30/FZ30)/1000</f>
        <v>3.0502853662756706E-3</v>
      </c>
      <c r="GB30" s="24">
        <f>FY30-GA30+$J30</f>
        <v>8.490578690654246E-3</v>
      </c>
      <c r="GC30" s="16">
        <f>GB30/$D30</f>
        <v>8.490578690654246E-3</v>
      </c>
      <c r="GD30" s="14">
        <f>FY30*$AE$11</f>
        <v>12.504071153675675</v>
      </c>
      <c r="GE30" s="14">
        <f>GA30*$M30*$AF$7*$E$11</f>
        <v>6.1049380746343029</v>
      </c>
      <c r="GF30" s="14">
        <f>GD30-GE30+$K30</f>
        <v>41.959633079041375</v>
      </c>
      <c r="GG30" s="44">
        <f>GF30/$D30</f>
        <v>41.959633079041375</v>
      </c>
    </row>
    <row r="31" spans="2:202" ht="14.4" hidden="1" x14ac:dyDescent="0.3">
      <c r="B31" s="30"/>
      <c r="C31" s="3" t="s">
        <v>156</v>
      </c>
      <c r="D31" s="7"/>
      <c r="E31" s="7"/>
      <c r="F31" s="3"/>
      <c r="G31" s="3"/>
      <c r="H31" s="8"/>
      <c r="I31" s="12"/>
      <c r="J31" s="111"/>
      <c r="K31" s="108"/>
      <c r="L31" s="98"/>
      <c r="M31" s="97"/>
      <c r="N31" s="45"/>
      <c r="O31" s="22"/>
      <c r="P31" s="15"/>
      <c r="Q31" s="22"/>
      <c r="R31" s="15"/>
      <c r="S31" s="24"/>
      <c r="T31" s="16"/>
      <c r="U31" s="14"/>
      <c r="V31" s="14"/>
      <c r="W31" s="14"/>
      <c r="X31" s="44"/>
      <c r="Y31" s="45"/>
      <c r="Z31" s="22"/>
      <c r="AA31" s="15"/>
      <c r="AB31" s="22"/>
      <c r="AC31" s="15"/>
      <c r="AD31" s="24"/>
      <c r="AE31" s="16"/>
      <c r="AF31" s="14"/>
      <c r="AG31" s="14"/>
      <c r="AH31" s="14"/>
      <c r="AI31" s="44"/>
      <c r="AJ31" s="45"/>
      <c r="AK31" s="22"/>
      <c r="AL31" s="15"/>
      <c r="AM31" s="22"/>
      <c r="AN31" s="15"/>
      <c r="AO31" s="24"/>
      <c r="AP31" s="16"/>
      <c r="AQ31" s="14"/>
      <c r="AR31" s="14"/>
      <c r="AS31" s="14"/>
      <c r="AT31" s="44"/>
      <c r="AU31" s="45"/>
      <c r="AV31" s="22"/>
      <c r="AW31" s="178"/>
      <c r="AX31" s="22"/>
      <c r="AY31" s="15"/>
      <c r="AZ31" s="24"/>
      <c r="BA31" s="16"/>
      <c r="BB31" s="14"/>
      <c r="BC31" s="14"/>
      <c r="BD31" s="14"/>
      <c r="BE31" s="44"/>
      <c r="BF31" s="45"/>
      <c r="BG31" s="22"/>
      <c r="BH31" s="15"/>
      <c r="BI31" s="22"/>
      <c r="BJ31" s="15"/>
      <c r="BK31" s="24"/>
      <c r="BL31" s="16"/>
      <c r="BM31" s="14"/>
      <c r="BN31" s="14"/>
      <c r="BO31" s="14"/>
      <c r="BP31" s="44"/>
      <c r="BQ31" s="45"/>
      <c r="BR31" s="22"/>
      <c r="BS31" s="15"/>
      <c r="BT31" s="22"/>
      <c r="BU31" s="15"/>
      <c r="BV31" s="24"/>
      <c r="BW31" s="16"/>
      <c r="BX31" s="14"/>
      <c r="BY31" s="14"/>
      <c r="BZ31" s="14"/>
      <c r="CA31" s="44"/>
      <c r="CB31" s="45"/>
      <c r="CC31" s="22"/>
      <c r="CD31" s="15"/>
      <c r="CE31" s="22"/>
      <c r="CF31" s="15"/>
      <c r="CG31" s="24"/>
      <c r="CH31" s="16"/>
      <c r="CI31" s="14"/>
      <c r="CJ31" s="14"/>
      <c r="CK31" s="14"/>
      <c r="CL31" s="44"/>
      <c r="CM31" s="45"/>
      <c r="CN31" s="22"/>
      <c r="CO31" s="15"/>
      <c r="CP31" s="22"/>
      <c r="CQ31" s="15"/>
      <c r="CR31" s="24"/>
      <c r="CS31" s="16"/>
      <c r="CT31" s="14"/>
      <c r="CU31" s="14"/>
      <c r="CV31" s="14"/>
      <c r="CW31" s="44"/>
      <c r="CX31" s="45"/>
      <c r="CY31" s="22"/>
      <c r="CZ31" s="15"/>
      <c r="DA31" s="22"/>
      <c r="DB31" s="15"/>
      <c r="DC31" s="24"/>
      <c r="DD31" s="16"/>
      <c r="DE31" s="14"/>
      <c r="DF31" s="14"/>
      <c r="DG31" s="14"/>
      <c r="DH31" s="44"/>
      <c r="DI31" s="45"/>
      <c r="DJ31" s="22"/>
      <c r="DK31" s="15"/>
      <c r="DL31" s="22"/>
      <c r="DM31" s="15"/>
      <c r="DN31" s="24"/>
      <c r="DO31" s="16"/>
      <c r="DP31" s="14"/>
      <c r="DQ31" s="14"/>
      <c r="DR31" s="14"/>
      <c r="DS31" s="44"/>
      <c r="DT31" s="45"/>
      <c r="DU31" s="22"/>
      <c r="DV31" s="15"/>
      <c r="DW31" s="22"/>
      <c r="DX31" s="15"/>
      <c r="DY31" s="24"/>
      <c r="DZ31" s="16"/>
      <c r="EA31" s="14"/>
      <c r="EB31" s="14"/>
      <c r="EC31" s="14"/>
      <c r="ED31" s="44"/>
      <c r="EE31" s="45"/>
      <c r="EF31" s="22"/>
      <c r="EG31" s="15"/>
      <c r="EH31" s="22"/>
      <c r="EI31" s="15"/>
      <c r="EJ31" s="24"/>
      <c r="EK31" s="16"/>
      <c r="EL31" s="14"/>
      <c r="EM31" s="14"/>
      <c r="EN31" s="14"/>
      <c r="EO31" s="44"/>
      <c r="EP31" s="45"/>
      <c r="EQ31" s="22"/>
      <c r="ER31" s="15"/>
      <c r="ES31" s="22"/>
      <c r="ET31" s="15"/>
      <c r="EU31" s="24"/>
      <c r="EV31" s="16"/>
      <c r="EW31" s="14"/>
      <c r="EX31" s="14"/>
      <c r="EY31" s="14"/>
      <c r="EZ31" s="44"/>
      <c r="FA31" s="45"/>
      <c r="FB31" s="22"/>
      <c r="FC31" s="15"/>
      <c r="FD31" s="22"/>
      <c r="FE31" s="15"/>
      <c r="FF31" s="24"/>
      <c r="FG31" s="16"/>
      <c r="FH31" s="14"/>
      <c r="FI31" s="14"/>
      <c r="FJ31" s="14"/>
      <c r="FK31" s="44"/>
      <c r="FL31" s="45"/>
      <c r="FM31" s="22"/>
      <c r="FN31" s="15"/>
      <c r="FO31" s="22"/>
      <c r="FP31" s="15"/>
      <c r="FQ31" s="24"/>
      <c r="FR31" s="16"/>
      <c r="FS31" s="14"/>
      <c r="FT31" s="14"/>
      <c r="FU31" s="14"/>
      <c r="FV31" s="44"/>
      <c r="FW31" s="45"/>
      <c r="FX31" s="22"/>
      <c r="FY31" s="15"/>
      <c r="FZ31" s="22"/>
      <c r="GA31" s="15"/>
      <c r="GB31" s="24"/>
      <c r="GC31" s="16"/>
      <c r="GD31" s="14"/>
      <c r="GE31" s="14"/>
      <c r="GF31" s="14"/>
      <c r="GG31" s="44"/>
      <c r="GH31" s="1" t="s">
        <v>0</v>
      </c>
      <c r="GI31" s="61" t="e">
        <f>#REF!</f>
        <v>#REF!</v>
      </c>
      <c r="GJ31" s="62" t="e">
        <f>#REF!</f>
        <v>#REF!</v>
      </c>
      <c r="GK31" s="61" t="e">
        <f>#REF!</f>
        <v>#REF!</v>
      </c>
      <c r="GL31" s="62" t="e">
        <f>#REF!</f>
        <v>#REF!</v>
      </c>
      <c r="GM31" s="61" t="e">
        <f>#REF!</f>
        <v>#REF!</v>
      </c>
      <c r="GN31" s="62" t="e">
        <f>#REF!</f>
        <v>#REF!</v>
      </c>
      <c r="GO31" s="61" t="e">
        <f>#REF!</f>
        <v>#REF!</v>
      </c>
      <c r="GP31" s="62" t="e">
        <f>#REF!</f>
        <v>#REF!</v>
      </c>
      <c r="GQ31" s="61" t="e">
        <f>#REF!</f>
        <v>#REF!</v>
      </c>
      <c r="GR31" s="62" t="e">
        <f>#REF!</f>
        <v>#REF!</v>
      </c>
      <c r="GS31" s="61" t="e">
        <f>#REF!</f>
        <v>#REF!</v>
      </c>
      <c r="GT31" s="62" t="e">
        <f>#REF!</f>
        <v>#REF!</v>
      </c>
    </row>
    <row r="32" spans="2:202" ht="13.8" hidden="1" x14ac:dyDescent="0.25">
      <c r="B32" s="31"/>
      <c r="C32" s="3" t="s">
        <v>156</v>
      </c>
      <c r="D32" s="3">
        <v>1</v>
      </c>
      <c r="E32" s="3">
        <v>38</v>
      </c>
      <c r="F32" s="3">
        <f>E32-10</f>
        <v>28</v>
      </c>
      <c r="G32" s="11">
        <f>'Cooling Load'!$C$33</f>
        <v>47.738845420205479</v>
      </c>
      <c r="H32" s="14">
        <f>G32*1.15</f>
        <v>54.899672233236295</v>
      </c>
      <c r="I32" s="14">
        <f>'Cooling Load'!$J$33</f>
        <v>70.956270000000004</v>
      </c>
      <c r="J32" s="110">
        <f>'Cooling Load'!$J$20</f>
        <v>3.4399999999999993E-2</v>
      </c>
      <c r="K32" s="109">
        <f>'Cooling Load'!$J$26</f>
        <v>88.367999999999938</v>
      </c>
      <c r="L32" s="98">
        <f>I32/H32</f>
        <v>1.2924716508060139</v>
      </c>
      <c r="M32" s="97">
        <f>(1-(1-L32))*(1-$D$8)</f>
        <v>1.2278480682657131</v>
      </c>
      <c r="N32" s="43">
        <f>69+15</f>
        <v>84</v>
      </c>
      <c r="O32" s="15">
        <f>-0.00002515*N32^3+0.0100767*N32^2-1.45844836*N32+82.96962576</f>
        <v>16.654653119999992</v>
      </c>
      <c r="P32" s="15">
        <f>$G$21/(O32*1000)</f>
        <v>2.8663968607594453E-3</v>
      </c>
      <c r="Q32" s="15">
        <f>O32</f>
        <v>16.654653119999992</v>
      </c>
      <c r="R32" s="15">
        <f>($I32/Q32)/1000</f>
        <v>4.2604471848645773E-3</v>
      </c>
      <c r="S32" s="24">
        <f>P32-R32+$J32</f>
        <v>3.3005949675894861E-2</v>
      </c>
      <c r="T32" s="16">
        <f>S32/$D32</f>
        <v>3.3005949675894861E-2</v>
      </c>
      <c r="U32" s="14">
        <f>P32*$Q$10</f>
        <v>8.2819160552386162</v>
      </c>
      <c r="V32" s="14">
        <f>R32*$M32*$Q$7*$D$11</f>
        <v>18.296522621524733</v>
      </c>
      <c r="W32" s="14">
        <f>U32-V32+$K32</f>
        <v>78.353393433713819</v>
      </c>
      <c r="X32" s="44">
        <f>W32/$D32</f>
        <v>78.353393433713819</v>
      </c>
      <c r="Y32" s="43">
        <f>96+15</f>
        <v>111</v>
      </c>
      <c r="Z32" s="15">
        <f>-0.00002515*Y32^3+0.0100767*Y32^2-1.45844836*Y32+82.96962576</f>
        <v>10.840958850000007</v>
      </c>
      <c r="AA32" s="15">
        <f>$G$21/(Z32*1000)</f>
        <v>4.4035630132666214E-3</v>
      </c>
      <c r="AB32" s="15">
        <f>Z32</f>
        <v>10.840958850000007</v>
      </c>
      <c r="AC32" s="15">
        <f>($I32/AB32)/1000</f>
        <v>6.5452024107627675E-3</v>
      </c>
      <c r="AD32" s="24">
        <f>AA32-AC32+$J32</f>
        <v>3.2258360602503845E-2</v>
      </c>
      <c r="AE32" s="16">
        <f>AD32/$D32</f>
        <v>3.2258360602503845E-2</v>
      </c>
      <c r="AF32" s="14">
        <f>AA32*$R$10</f>
        <v>12.81636942180363</v>
      </c>
      <c r="AG32" s="14">
        <f>AC32*$M32*$R$7*$D$11</f>
        <v>28.314099235951719</v>
      </c>
      <c r="AH32" s="14">
        <f>AF32-AG32+$K32</f>
        <v>72.870270185851851</v>
      </c>
      <c r="AI32" s="44">
        <f>AH32/$D32</f>
        <v>72.870270185851851</v>
      </c>
      <c r="AJ32" s="43">
        <f>89+15</f>
        <v>104</v>
      </c>
      <c r="AK32" s="15">
        <f>-0.00002515*AJ32^3+0.0100767*AJ32^2-1.45844836*AJ32+82.96962576</f>
        <v>11.990253919999972</v>
      </c>
      <c r="AL32" s="15">
        <f>$G$21/(AK32*1000)</f>
        <v>3.9814707627314023E-3</v>
      </c>
      <c r="AM32" s="15">
        <f>AK32</f>
        <v>11.990253919999972</v>
      </c>
      <c r="AN32" s="15">
        <f>($I32/AM32)/1000</f>
        <v>5.917828802744835E-3</v>
      </c>
      <c r="AO32" s="24">
        <f>AL32-AN32+$J32</f>
        <v>3.2463641959986564E-2</v>
      </c>
      <c r="AP32" s="16">
        <f>AO32/$D32</f>
        <v>3.2463641959986564E-2</v>
      </c>
      <c r="AQ32" s="14">
        <f>AL32*$Q$10</f>
        <v>11.503712931290295</v>
      </c>
      <c r="AR32" s="14">
        <f>AN32*$M32*$S$7*$D$11</f>
        <v>26.025895993397643</v>
      </c>
      <c r="AS32" s="14">
        <f>AQ32-AR32+$K32</f>
        <v>73.845816937892593</v>
      </c>
      <c r="AT32" s="44">
        <f>AS32/$D32</f>
        <v>73.845816937892593</v>
      </c>
      <c r="AU32" s="43">
        <f>88+15</f>
        <v>103</v>
      </c>
      <c r="AV32" s="15">
        <f>-0.00002515*AU32^3+0.0100767*AU32^2-1.45844836*AU32+82.96962576</f>
        <v>12.171070929999985</v>
      </c>
      <c r="AW32" s="178">
        <f>$G$21/(AV32*1000)</f>
        <v>3.9223208618837241E-3</v>
      </c>
      <c r="AX32" s="15">
        <f>AV32</f>
        <v>12.171070929999985</v>
      </c>
      <c r="AY32" s="15">
        <f>($I32/AX32)/1000</f>
        <v>5.8299117972521828E-3</v>
      </c>
      <c r="AZ32" s="24">
        <f>AW32-AY32+$J32</f>
        <v>3.2492409064631536E-2</v>
      </c>
      <c r="BA32" s="16">
        <f>AZ32/$D32</f>
        <v>3.2492409064631536E-2</v>
      </c>
      <c r="BB32" s="14">
        <f>AW32*$S$10</f>
        <v>11.605598558600567</v>
      </c>
      <c r="BC32" s="14">
        <f>AY32*$M32*$T$7*$D$11</f>
        <v>26.254482103351453</v>
      </c>
      <c r="BD32" s="14">
        <f>BB32-BC32+$K32</f>
        <v>73.719116455249051</v>
      </c>
      <c r="BE32" s="44">
        <f>BD32/$D32</f>
        <v>73.719116455249051</v>
      </c>
      <c r="BF32" s="43">
        <f>83+15</f>
        <v>98</v>
      </c>
      <c r="BG32" s="15">
        <f>-0.00002515*BF32^3+0.0100767*BF32^2-1.45844836*BF32+82.96962576</f>
        <v>13.147334479999984</v>
      </c>
      <c r="BH32" s="15">
        <f>$G$21/(BG32*1000)</f>
        <v>3.6310664715214227E-3</v>
      </c>
      <c r="BI32" s="15">
        <f>BG32</f>
        <v>13.147334479999984</v>
      </c>
      <c r="BJ32" s="15">
        <f>($I32/BI32)/1000</f>
        <v>5.3970080481287102E-3</v>
      </c>
      <c r="BK32" s="24">
        <f>BH32-BJ32+$J32</f>
        <v>3.2634058423392703E-2</v>
      </c>
      <c r="BL32" s="16">
        <f>BK32/$D32</f>
        <v>3.2634058423392703E-2</v>
      </c>
      <c r="BM32" s="14">
        <f>BH32*$T$10</f>
        <v>11.001624163622187</v>
      </c>
      <c r="BN32" s="14">
        <f>BJ32*$M32*$U$7*$D$11</f>
        <v>23.80305175124758</v>
      </c>
      <c r="BO32" s="14">
        <f>BM32-BN32+$K32</f>
        <v>75.566572412374541</v>
      </c>
      <c r="BP32" s="44">
        <f>BO32/$D32</f>
        <v>75.566572412374541</v>
      </c>
      <c r="BQ32" s="43">
        <f>84+15</f>
        <v>99</v>
      </c>
      <c r="BR32" s="15">
        <f>-0.00002515*BQ32^3+0.0100767*BQ32^2-1.45844836*BQ32+82.96962576</f>
        <v>12.941954969999969</v>
      </c>
      <c r="BS32" s="15">
        <f>$G$21/(BR32*1000)</f>
        <v>3.6886888828516445E-3</v>
      </c>
      <c r="BT32" s="15">
        <f>BR32</f>
        <v>12.941954969999969</v>
      </c>
      <c r="BU32" s="15">
        <f>($I32/BT32)/1000</f>
        <v>5.4826546811884156E-3</v>
      </c>
      <c r="BV32" s="24">
        <f>BS32-BU32+$J32</f>
        <v>3.260603420166322E-2</v>
      </c>
      <c r="BW32" s="16">
        <f>BV32/$D32</f>
        <v>3.260603420166322E-2</v>
      </c>
      <c r="BX32" s="14">
        <f>BS32*$U$10</f>
        <v>10.945427674996846</v>
      </c>
      <c r="BY32" s="14">
        <f>BU32*$M32*$V$7*$D$11</f>
        <v>25.016715457855646</v>
      </c>
      <c r="BZ32" s="14">
        <f>BX32-BY32+$K32</f>
        <v>74.296712217141135</v>
      </c>
      <c r="CA32" s="44">
        <f>BZ32/$D32</f>
        <v>74.296712217141135</v>
      </c>
      <c r="CB32" s="43">
        <f>83+15</f>
        <v>98</v>
      </c>
      <c r="CC32" s="15">
        <f>-0.00002515*CB32^3+0.0100767*CB32^2-1.45844836*CB32+82.96962576</f>
        <v>13.147334479999984</v>
      </c>
      <c r="CD32" s="15">
        <f>$G$21/(CC32*1000)</f>
        <v>3.6310664715214227E-3</v>
      </c>
      <c r="CE32" s="15">
        <f>CC32</f>
        <v>13.147334479999984</v>
      </c>
      <c r="CF32" s="15">
        <f>($I32/CE32)/1000</f>
        <v>5.3970080481287102E-3</v>
      </c>
      <c r="CG32" s="24">
        <f>CD32-CF32+$J32</f>
        <v>3.2634058423392703E-2</v>
      </c>
      <c r="CH32" s="16">
        <f>CG32/$D32</f>
        <v>3.2634058423392703E-2</v>
      </c>
      <c r="CI32" s="14">
        <f>CD32*$V$10</f>
        <v>11.146916005743083</v>
      </c>
      <c r="CJ32" s="14">
        <f>CF32*$M32*$W$7*$D$11</f>
        <v>24.883938208824155</v>
      </c>
      <c r="CK32" s="14">
        <f>CI32-CJ32+$K32</f>
        <v>74.63097779691887</v>
      </c>
      <c r="CL32" s="44">
        <f>CK32/$D32</f>
        <v>74.63097779691887</v>
      </c>
      <c r="CM32" s="43">
        <f>89+15</f>
        <v>104</v>
      </c>
      <c r="CN32" s="15">
        <f>-0.00002515*CM32^3+0.0100767*CM32^2-1.45844836*CM32+82.96962576</f>
        <v>11.990253919999972</v>
      </c>
      <c r="CO32" s="15">
        <f>$G$21/(CN32*1000)</f>
        <v>3.9814707627314023E-3</v>
      </c>
      <c r="CP32" s="15">
        <f>CN32</f>
        <v>11.990253919999972</v>
      </c>
      <c r="CQ32" s="15">
        <f>($I32/CP32)/1000</f>
        <v>5.917828802744835E-3</v>
      </c>
      <c r="CR32" s="24">
        <f>CO32-CQ32+$J32</f>
        <v>3.2463641959986564E-2</v>
      </c>
      <c r="CS32" s="16">
        <f>CR32/$D32</f>
        <v>3.2463641959986564E-2</v>
      </c>
      <c r="CT32" s="14">
        <f>CO32*$W$10</f>
        <v>12.350675551553147</v>
      </c>
      <c r="CU32" s="14">
        <f>CQ32*$M32*$X$7*$D$11</f>
        <v>27.165672759637722</v>
      </c>
      <c r="CV32" s="14">
        <f>CT32-CU32+$K32</f>
        <v>73.553002791915361</v>
      </c>
      <c r="CW32" s="44">
        <f>CV32/$D32</f>
        <v>73.553002791915361</v>
      </c>
      <c r="CX32" s="43">
        <f>94+15</f>
        <v>109</v>
      </c>
      <c r="CY32" s="15">
        <f>-0.00002515*CX32^3+0.0100767*CX32^2-1.45844836*CX32+82.96962576</f>
        <v>11.150047869999966</v>
      </c>
      <c r="CZ32" s="15">
        <f>$G$21/(CY32*1000)</f>
        <v>4.2814924184003192E-3</v>
      </c>
      <c r="DA32" s="15">
        <f>CY32</f>
        <v>11.150047869999966</v>
      </c>
      <c r="DB32" s="15">
        <f>($I32/DA32)/1000</f>
        <v>6.3637637100117869E-3</v>
      </c>
      <c r="DC32" s="24">
        <f>CZ32-DB32+$J32</f>
        <v>3.2317728708388525E-2</v>
      </c>
      <c r="DD32" s="16">
        <f>DC32/$D32</f>
        <v>3.2317728708388525E-2</v>
      </c>
      <c r="DE32" s="14">
        <f>CZ32*$X$10</f>
        <v>13.223133437236696</v>
      </c>
      <c r="DF32" s="14">
        <f>DB32*$M32*$Y$7*$D$11</f>
        <v>28.918998020276092</v>
      </c>
      <c r="DG32" s="14">
        <f>DE32-DF32+$K32</f>
        <v>72.672135416960543</v>
      </c>
      <c r="DH32" s="44">
        <f>DG32/$D32</f>
        <v>72.672135416960543</v>
      </c>
      <c r="DI32" s="43">
        <f>100+15</f>
        <v>115</v>
      </c>
      <c r="DJ32" s="15">
        <f>-0.00002515*DI32^3+0.0100767*DI32^2-1.45844836*DI32+82.96962576</f>
        <v>10.262415609999962</v>
      </c>
      <c r="DK32" s="15">
        <f>$G$21/(DJ32*1000)</f>
        <v>4.6518136893313423E-3</v>
      </c>
      <c r="DL32" s="15">
        <f>DJ32</f>
        <v>10.262415609999962</v>
      </c>
      <c r="DM32" s="15">
        <f>($I32/DL32)/1000</f>
        <v>6.9141879160359073E-3</v>
      </c>
      <c r="DN32" s="24">
        <f>DK32-DM32+$J32</f>
        <v>3.2137625773295431E-2</v>
      </c>
      <c r="DO32" s="16">
        <f>DN32/$D32</f>
        <v>3.2137625773295431E-2</v>
      </c>
      <c r="DP32" s="14">
        <f>DK32*$Y$10</f>
        <v>14.222391911810622</v>
      </c>
      <c r="DQ32" s="14">
        <f>DM32*$M32*$Z$7*$D$11</f>
        <v>31.083417170771487</v>
      </c>
      <c r="DR32" s="14">
        <f>DP32-DQ32+$K32</f>
        <v>71.506974741039073</v>
      </c>
      <c r="DS32" s="44">
        <f>DR32/$D32</f>
        <v>71.506974741039073</v>
      </c>
      <c r="DT32" s="43">
        <f>104+15</f>
        <v>119</v>
      </c>
      <c r="DU32" s="15">
        <f>-0.00002515*DT32^3+0.0100767*DT32^2-1.45844836*DT32+82.96962576</f>
        <v>9.7286707699999653</v>
      </c>
      <c r="DV32" s="15">
        <f>$G$21/(DU32*1000)</f>
        <v>4.907026514600169E-3</v>
      </c>
      <c r="DW32" s="15">
        <f>DU32</f>
        <v>9.7286707699999653</v>
      </c>
      <c r="DX32" s="15">
        <f>($I32/DW32)/1000</f>
        <v>7.2935215588552857E-3</v>
      </c>
      <c r="DY32" s="24">
        <f>DV32-DX32+$J32</f>
        <v>3.2013504955744877E-2</v>
      </c>
      <c r="DZ32" s="16">
        <f>DY32/$D32</f>
        <v>3.2013504955744877E-2</v>
      </c>
      <c r="EA32" s="14">
        <f>DV32*$Z$10</f>
        <v>14.84181851148848</v>
      </c>
      <c r="EB32" s="14">
        <f>DX32*$M32*$AA$7*$D$11</f>
        <v>31.614000662845378</v>
      </c>
      <c r="EC32" s="14">
        <f>EA32-EB32+$K32</f>
        <v>71.595817848643037</v>
      </c>
      <c r="ED32" s="44">
        <f>EC32/$D32</f>
        <v>71.595817848643037</v>
      </c>
      <c r="EE32" s="43">
        <f>100+15</f>
        <v>115</v>
      </c>
      <c r="EF32" s="15">
        <f>-0.00002515*EE32^3+0.0100767*EE32^2-1.45844836*EE32+82.96962576</f>
        <v>10.262415609999962</v>
      </c>
      <c r="EG32" s="15">
        <f>$G$21/(EF32*1000)</f>
        <v>4.6518136893313423E-3</v>
      </c>
      <c r="EH32" s="15">
        <f>EF32</f>
        <v>10.262415609999962</v>
      </c>
      <c r="EI32" s="15">
        <f>($I32/EH32)/1000</f>
        <v>6.9141879160359073E-3</v>
      </c>
      <c r="EJ32" s="24">
        <f>EG32-EI32+$J32</f>
        <v>3.2137625773295431E-2</v>
      </c>
      <c r="EK32" s="16">
        <f>EJ32/$D32</f>
        <v>3.2137625773295431E-2</v>
      </c>
      <c r="EL32" s="14">
        <f>EG32*$AA$10</f>
        <v>13.565806968120146</v>
      </c>
      <c r="EM32" s="14">
        <f>EI32*$M32*$AB$7*$D$11</f>
        <v>30.440692652799289</v>
      </c>
      <c r="EN32" s="14">
        <f>EL32-EM32+$K32</f>
        <v>71.493114315320796</v>
      </c>
      <c r="EO32" s="44">
        <f>EN32/$D32</f>
        <v>71.493114315320796</v>
      </c>
      <c r="EP32" s="43">
        <f>101+15</f>
        <v>116</v>
      </c>
      <c r="EQ32" s="15">
        <f>-0.00002515*EP32^3+0.0100767*EP32^2-1.45844836*EP32+82.96962576</f>
        <v>10.125156799999999</v>
      </c>
      <c r="ER32" s="15">
        <f>$G$21/(EQ32*1000)</f>
        <v>4.7148746792943967E-3</v>
      </c>
      <c r="ES32" s="15">
        <f>EQ32</f>
        <v>10.125156799999999</v>
      </c>
      <c r="ET32" s="15">
        <f>($I32/ES32)/1000</f>
        <v>7.0079181391047704E-3</v>
      </c>
      <c r="EU32" s="24">
        <f>ER32-ET32+$J32</f>
        <v>3.2106956540189621E-2</v>
      </c>
      <c r="EV32" s="16">
        <f>EU32/$D32</f>
        <v>3.2106956540189621E-2</v>
      </c>
      <c r="EW32" s="14">
        <f>ER32*$AB$10</f>
        <v>13.965762069797471</v>
      </c>
      <c r="EX32" s="14">
        <f>ET32*$M32*$AC$7*$D$11</f>
        <v>31.563469000225822</v>
      </c>
      <c r="EY32" s="14">
        <f>EW32-EX32+$K32</f>
        <v>70.770293069571579</v>
      </c>
      <c r="EZ32" s="44">
        <f>EY32/$D32</f>
        <v>70.770293069571579</v>
      </c>
      <c r="FA32" s="43">
        <f>108+15</f>
        <v>123</v>
      </c>
      <c r="FB32" s="15">
        <f>-0.00002515*FA32^3+0.0100767*FA32^2-1.45844836*FA32+82.96962576</f>
        <v>9.2300667299999901</v>
      </c>
      <c r="FC32" s="15">
        <f>$G$21/(FB32*1000)</f>
        <v>5.1721018727895517E-3</v>
      </c>
      <c r="FD32" s="15">
        <f>FB32</f>
        <v>9.2300667299999901</v>
      </c>
      <c r="FE32" s="15">
        <f>($I32/FD32)/1000</f>
        <v>7.6875143025103652E-3</v>
      </c>
      <c r="FF32" s="24">
        <f>FC32-FE32+$J32</f>
        <v>3.1884587570279177E-2</v>
      </c>
      <c r="FG32" s="16">
        <f>FF32/$D32</f>
        <v>3.1884587570279177E-2</v>
      </c>
      <c r="FH32" s="14">
        <f>FC32*$AC$10</f>
        <v>15.672703315461211</v>
      </c>
      <c r="FI32" s="14">
        <f>FE32*$M32*$AD$7*$D$11</f>
        <v>34.245531495598826</v>
      </c>
      <c r="FJ32" s="14">
        <f>FH32-FI32+$K32</f>
        <v>69.795171819862333</v>
      </c>
      <c r="FK32" s="44">
        <f>FJ32/$D32</f>
        <v>69.795171819862333</v>
      </c>
      <c r="FL32" s="43">
        <f>111+15</f>
        <v>126</v>
      </c>
      <c r="FM32" s="15">
        <f>-0.00002515*FL32^3+0.0100767*FL32^2-1.45844836*FL32+82.96962576</f>
        <v>8.873365199999995</v>
      </c>
      <c r="FN32" s="15">
        <f>$G$21/(FM32*1000)</f>
        <v>5.3800158501540662E-3</v>
      </c>
      <c r="FO32" s="15">
        <f>FM32</f>
        <v>8.873365199999995</v>
      </c>
      <c r="FP32" s="15">
        <f>($I32/FO32)/1000</f>
        <v>7.9965456622928185E-3</v>
      </c>
      <c r="FQ32" s="24">
        <f>FN32-FP32+$J32</f>
        <v>3.1783470187861242E-2</v>
      </c>
      <c r="FR32" s="16">
        <f>FQ32/$D32</f>
        <v>3.1783470187861242E-2</v>
      </c>
      <c r="FS32" s="14">
        <f>FN32*$AD$10</f>
        <v>16.124366573823188</v>
      </c>
      <c r="FT32" s="14">
        <f>FP32*$M32*$AE$7*$D$11</f>
        <v>39.308537477984075</v>
      </c>
      <c r="FU32" s="14">
        <f>FS32-FT32+$K32</f>
        <v>65.183829095839059</v>
      </c>
      <c r="FV32" s="44">
        <f>FU32/$D32</f>
        <v>65.183829095839059</v>
      </c>
      <c r="FW32" s="43">
        <f>89+15</f>
        <v>104</v>
      </c>
      <c r="FX32" s="15">
        <f>-0.00002515*FW32^3+0.0100767*FW32^2-1.45844836*FW32+82.96962576</f>
        <v>11.990253919999972</v>
      </c>
      <c r="FY32" s="15">
        <f>$G$21/(FX32*1000)</f>
        <v>3.9814707627314023E-3</v>
      </c>
      <c r="FZ32" s="15">
        <f>FX32</f>
        <v>11.990253919999972</v>
      </c>
      <c r="GA32" s="15">
        <f>($I32/FZ32)/1000</f>
        <v>5.917828802744835E-3</v>
      </c>
      <c r="GB32" s="24">
        <f>FY32-GA32+$J32</f>
        <v>3.2463641959986564E-2</v>
      </c>
      <c r="GC32" s="16">
        <f>GB32/$D32</f>
        <v>3.2463641959986564E-2</v>
      </c>
      <c r="GD32" s="14">
        <f>FY32*$AE$10</f>
        <v>13.167675903187313</v>
      </c>
      <c r="GE32" s="14">
        <f>GA32*$M32*$AF$7*$D$11</f>
        <v>24.312499767533659</v>
      </c>
      <c r="GF32" s="14">
        <f>GD32-GE32+$K32</f>
        <v>77.223176135653588</v>
      </c>
      <c r="GG32" s="44">
        <f>GF32/$D32</f>
        <v>77.223176135653588</v>
      </c>
    </row>
    <row r="33" spans="2:202" ht="13.8" hidden="1" x14ac:dyDescent="0.25">
      <c r="B33" s="31"/>
      <c r="C33" s="3" t="s">
        <v>156</v>
      </c>
      <c r="D33" s="3">
        <v>1</v>
      </c>
      <c r="E33" s="3">
        <v>0</v>
      </c>
      <c r="F33" s="3">
        <f>E33-10</f>
        <v>-10</v>
      </c>
      <c r="G33" s="11">
        <f>'Cooling Load'!$C$33</f>
        <v>47.738845420205479</v>
      </c>
      <c r="H33" s="14">
        <f>G33*1.15</f>
        <v>54.899672233236295</v>
      </c>
      <c r="I33" s="14">
        <f>'Cooling Load'!$J$33</f>
        <v>70.956270000000004</v>
      </c>
      <c r="J33" s="110">
        <f>'Cooling Load'!$J$20</f>
        <v>3.4399999999999993E-2</v>
      </c>
      <c r="K33" s="109">
        <f>'Cooling Load'!$J$26</f>
        <v>88.367999999999938</v>
      </c>
      <c r="L33" s="98">
        <f>I33/H33</f>
        <v>1.2924716508060139</v>
      </c>
      <c r="M33" s="97">
        <f>(1-(1-L33))*(1-$E$8)</f>
        <v>1.1632244857254126</v>
      </c>
      <c r="N33" s="43">
        <f>69+10</f>
        <v>79</v>
      </c>
      <c r="O33" s="15">
        <f>0.00000491*N33^3-0.00107023*N33^2-0.03013591*N33+15.74788397</f>
        <v>9.1086631400000009</v>
      </c>
      <c r="P33" s="15">
        <f>$G$22/(O33*1000)</f>
        <v>5.2410375360752966E-3</v>
      </c>
      <c r="Q33" s="15">
        <f>O33</f>
        <v>9.1086631400000009</v>
      </c>
      <c r="R33" s="15">
        <f>($I33/Q33)/1000</f>
        <v>7.7899763016156497E-3</v>
      </c>
      <c r="S33" s="24">
        <f>P33-R33+$J33</f>
        <v>3.1851061234459639E-2</v>
      </c>
      <c r="T33" s="16">
        <f>S33/$D33</f>
        <v>3.1851061234459639E-2</v>
      </c>
      <c r="U33" s="14">
        <f>P33*$Q$11</f>
        <v>14.345995126206512</v>
      </c>
      <c r="V33" s="14">
        <f>R33*$M33*$Q$7*$E$11</f>
        <v>31.693369336784279</v>
      </c>
      <c r="W33" s="14">
        <f>U33-V33+$K33</f>
        <v>71.020625789422169</v>
      </c>
      <c r="X33" s="44">
        <f>W33/$D33</f>
        <v>71.020625789422169</v>
      </c>
      <c r="Y33" s="43">
        <f>96+10</f>
        <v>106</v>
      </c>
      <c r="Z33" s="15">
        <f>0.00000491*Y33^3-0.00107023*Y33^2-0.03013591*Y33+15.74788397</f>
        <v>6.3762617900000009</v>
      </c>
      <c r="AA33" s="15">
        <f>$G$22/(Z33*1000)</f>
        <v>7.4869644616968392E-3</v>
      </c>
      <c r="AB33" s="15">
        <f>Z33</f>
        <v>6.3762617900000009</v>
      </c>
      <c r="AC33" s="15">
        <f>($I33/AB33)/1000</f>
        <v>1.1128192714935564E-2</v>
      </c>
      <c r="AD33" s="24">
        <f>AA33-AC33+$J33</f>
        <v>3.0758771746761268E-2</v>
      </c>
      <c r="AE33" s="16">
        <f>AD33/$D33</f>
        <v>3.0758771746761268E-2</v>
      </c>
      <c r="AF33" s="14">
        <f>AA33*$R$11</f>
        <v>20.643602008058707</v>
      </c>
      <c r="AG33" s="14">
        <f>AC33*$M33*$R$7*$E$11</f>
        <v>45.606128897103034</v>
      </c>
      <c r="AH33" s="14">
        <f>AF33-AG33+$K33</f>
        <v>63.405473110955612</v>
      </c>
      <c r="AI33" s="44">
        <f>AH33/$D33</f>
        <v>63.405473110955612</v>
      </c>
      <c r="AJ33" s="43">
        <f>89+10</f>
        <v>99</v>
      </c>
      <c r="AK33" s="15">
        <f>0.00000491*AJ33^3-0.00107023*AJ33^2-0.03013591*AJ33+15.74788397</f>
        <v>7.0392727400000012</v>
      </c>
      <c r="AL33" s="15">
        <f>$G$22/(AK33*1000)</f>
        <v>6.7817865827152863E-3</v>
      </c>
      <c r="AM33" s="15">
        <f>AK33</f>
        <v>7.0392727400000012</v>
      </c>
      <c r="AN33" s="15">
        <f>($I33/AM33)/1000</f>
        <v>1.0080056934972517E-2</v>
      </c>
      <c r="AO33" s="24">
        <f>AL33-AN33+$J33</f>
        <v>3.1101729647742764E-2</v>
      </c>
      <c r="AP33" s="16">
        <f>AO33/$D33</f>
        <v>3.1101729647742764E-2</v>
      </c>
      <c r="AQ33" s="14">
        <f>AL33*$Q$11</f>
        <v>18.563400203285333</v>
      </c>
      <c r="AR33" s="14">
        <f>AN33*$M33*$S$7*$E$11</f>
        <v>41.997668566676523</v>
      </c>
      <c r="AS33" s="14">
        <f>AQ33-AR33+$K33</f>
        <v>64.933731636608741</v>
      </c>
      <c r="AT33" s="44">
        <f>AS33/$D33</f>
        <v>64.933731636608741</v>
      </c>
      <c r="AU33" s="43">
        <f>88+10</f>
        <v>98</v>
      </c>
      <c r="AV33" s="15">
        <f>0.00000491*AU33^3-0.00107023*AU33^2-0.03013591*AU33+15.74788397</f>
        <v>7.137328590000001</v>
      </c>
      <c r="AW33" s="178">
        <f>$G$22/(AV33*1000)</f>
        <v>6.6886153297035572E-3</v>
      </c>
      <c r="AX33" s="15">
        <f>AV33</f>
        <v>7.137328590000001</v>
      </c>
      <c r="AY33" s="15">
        <f>($I33/AX33)/1000</f>
        <v>9.9415725513066228E-3</v>
      </c>
      <c r="AZ33" s="24">
        <f>AW33-AY33+$J33</f>
        <v>3.1147042778396927E-2</v>
      </c>
      <c r="BA33" s="16">
        <f>AZ33/$D33</f>
        <v>3.1147042778396927E-2</v>
      </c>
      <c r="BB33" s="14">
        <f>AW33*$S$11</f>
        <v>18.749062218536924</v>
      </c>
      <c r="BC33" s="14">
        <f>AY33*$M33*$T$7*$E$11</f>
        <v>42.414608431067165</v>
      </c>
      <c r="BD33" s="14">
        <f>BB33-BC33+$K33</f>
        <v>64.702453787469693</v>
      </c>
      <c r="BE33" s="44">
        <f>BD33/$D33</f>
        <v>64.702453787469693</v>
      </c>
      <c r="BF33" s="43">
        <f>83+10</f>
        <v>93</v>
      </c>
      <c r="BG33" s="15">
        <f>0.00000491*BF33^3-0.00107023*BF33^2-0.03013591*BF33+15.74788397</f>
        <v>7.6382179400000023</v>
      </c>
      <c r="BH33" s="15">
        <f>$G$22/(BG33*1000)</f>
        <v>6.2499978129984422E-3</v>
      </c>
      <c r="BI33" s="15">
        <f>BG33</f>
        <v>7.6382179400000023</v>
      </c>
      <c r="BJ33" s="15">
        <f>($I33/BI33)/1000</f>
        <v>9.2896367395350829E-3</v>
      </c>
      <c r="BK33" s="24">
        <f>BH33-BJ33+$J33</f>
        <v>3.136036107346335E-2</v>
      </c>
      <c r="BL33" s="16">
        <f>BK33/$D33</f>
        <v>3.136036107346335E-2</v>
      </c>
      <c r="BM33" s="14">
        <f>BH33*$T$11</f>
        <v>17.939956049369705</v>
      </c>
      <c r="BN33" s="14">
        <f>BJ33*$M33*$U$7*$E$11</f>
        <v>38.814787335696423</v>
      </c>
      <c r="BO33" s="14">
        <f>BM33-BN33+$K33</f>
        <v>67.493168713673214</v>
      </c>
      <c r="BP33" s="44">
        <f>BO33/$D33</f>
        <v>67.493168713673214</v>
      </c>
      <c r="BQ33" s="43">
        <f>84+10</f>
        <v>94</v>
      </c>
      <c r="BR33" s="15">
        <f>0.00000491*BQ33^3-0.00107023*BQ33^2-0.03013591*BQ33+15.74788397</f>
        <v>7.5367235900000029</v>
      </c>
      <c r="BS33" s="15">
        <f>$G$22/(BR33*1000)</f>
        <v>6.3341642890482408E-3</v>
      </c>
      <c r="BT33" s="15">
        <f>BR33</f>
        <v>7.5367235900000029</v>
      </c>
      <c r="BU33" s="15">
        <f>($I33/BT33)/1000</f>
        <v>9.4147369414140838E-3</v>
      </c>
      <c r="BV33" s="24">
        <f>BS33-BU33+$J33</f>
        <v>3.1319427347634148E-2</v>
      </c>
      <c r="BW33" s="16">
        <f>BV33/$D33</f>
        <v>3.1319427347634148E-2</v>
      </c>
      <c r="BX33" s="14">
        <f>BS33*$U$11</f>
        <v>17.806105260889503</v>
      </c>
      <c r="BY33" s="14">
        <f>BU33*$M33*$V$7*$E$11</f>
        <v>40.697383597158293</v>
      </c>
      <c r="BZ33" s="14">
        <f>BX33-BY33+$K33</f>
        <v>65.476721663731155</v>
      </c>
      <c r="CA33" s="44">
        <f>BZ33/$D33</f>
        <v>65.476721663731155</v>
      </c>
      <c r="CB33" s="43">
        <f>83+10</f>
        <v>93</v>
      </c>
      <c r="CC33" s="15">
        <f>0.00000491*CB33^3-0.00107023*CB33^2-0.03013591*CB33+15.74788397</f>
        <v>7.6382179400000023</v>
      </c>
      <c r="CD33" s="15">
        <f>$G$22/(CC33*1000)</f>
        <v>6.2499978129984422E-3</v>
      </c>
      <c r="CE33" s="15">
        <f>CC33</f>
        <v>7.6382179400000023</v>
      </c>
      <c r="CF33" s="15">
        <f>($I33/CE33)/1000</f>
        <v>9.2896367395350829E-3</v>
      </c>
      <c r="CG33" s="24">
        <f>CD33-CF33+$J33</f>
        <v>3.136036107346335E-2</v>
      </c>
      <c r="CH33" s="16">
        <f>CG33/$D33</f>
        <v>3.136036107346335E-2</v>
      </c>
      <c r="CI33" s="14">
        <f>CD33*$V$11</f>
        <v>18.176878273144585</v>
      </c>
      <c r="CJ33" s="14">
        <f>CF33*$M33*$W$7*$E$11</f>
        <v>40.57735032229624</v>
      </c>
      <c r="CK33" s="14">
        <f>CI33-CJ33+$K33</f>
        <v>65.967527950848279</v>
      </c>
      <c r="CL33" s="44">
        <f>CK33/$D33</f>
        <v>65.967527950848279</v>
      </c>
      <c r="CM33" s="43">
        <f>89+10</f>
        <v>99</v>
      </c>
      <c r="CN33" s="15">
        <f>0.00000491*CM33^3-0.00107023*CM33^2-0.03013591*CM33+15.74788397</f>
        <v>7.0392727400000012</v>
      </c>
      <c r="CO33" s="15">
        <f>$G$22/(CN33*1000)</f>
        <v>6.7817865827152863E-3</v>
      </c>
      <c r="CP33" s="15">
        <f>CN33</f>
        <v>7.0392727400000012</v>
      </c>
      <c r="CQ33" s="15">
        <f>($I33/CP33)/1000</f>
        <v>1.0080056934972517E-2</v>
      </c>
      <c r="CR33" s="24">
        <f>CO33-CQ33+$J33</f>
        <v>3.1101729647742764E-2</v>
      </c>
      <c r="CS33" s="16">
        <f>CR33/$D33</f>
        <v>3.1101729647742764E-2</v>
      </c>
      <c r="CT33" s="14">
        <f>CO33*$W$11</f>
        <v>19.930133376398253</v>
      </c>
      <c r="CU33" s="14">
        <f>CQ33*$M33*$X$7*$E$11</f>
        <v>43.836912329146507</v>
      </c>
      <c r="CV33" s="14">
        <f>CT33-CU33+$K33</f>
        <v>64.461221047251684</v>
      </c>
      <c r="CW33" s="44">
        <f>CV33/$D33</f>
        <v>64.461221047251684</v>
      </c>
      <c r="CX33" s="43">
        <f>94+10</f>
        <v>104</v>
      </c>
      <c r="CY33" s="15">
        <f>0.00000491*CX33^3-0.00107023*CX33^2-0.03013591*CX33+15.74788397</f>
        <v>6.5612238900000026</v>
      </c>
      <c r="CZ33" s="15">
        <f>$G$22/(CY33*1000)</f>
        <v>7.2759055658753718E-3</v>
      </c>
      <c r="DA33" s="15">
        <f>CY33</f>
        <v>6.5612238900000026</v>
      </c>
      <c r="DB33" s="15">
        <f>($I33/DA33)/1000</f>
        <v>1.0814486929510947E-2</v>
      </c>
      <c r="DC33" s="24">
        <f>CZ33-DB33+$J33</f>
        <v>3.0861418636364418E-2</v>
      </c>
      <c r="DD33" s="16">
        <f>DC33/$D33</f>
        <v>3.0861418636364418E-2</v>
      </c>
      <c r="DE33" s="14">
        <f>CZ33*$X$11</f>
        <v>21.288504763516915</v>
      </c>
      <c r="DF33" s="14">
        <f>DB33*$M33*$Y$7*$E$11</f>
        <v>46.557968278314334</v>
      </c>
      <c r="DG33" s="14">
        <f>DE33-DF33+$K33</f>
        <v>63.098536485202516</v>
      </c>
      <c r="DH33" s="44">
        <f>DG33/$D33</f>
        <v>63.098536485202516</v>
      </c>
      <c r="DI33" s="43">
        <f>100+10</f>
        <v>110</v>
      </c>
      <c r="DJ33" s="15">
        <f>0.00000491*DI33^3-0.00107023*DI33^2-0.03013591*DI33+15.74788397</f>
        <v>6.0183608700000022</v>
      </c>
      <c r="DK33" s="15">
        <f>$G$22/(DJ33*1000)</f>
        <v>7.9322005528401386E-3</v>
      </c>
      <c r="DL33" s="15">
        <f>DJ33</f>
        <v>6.0183608700000022</v>
      </c>
      <c r="DM33" s="15">
        <f>($I33/DL33)/1000</f>
        <v>1.1789965994511721E-2</v>
      </c>
      <c r="DN33" s="24">
        <f>DK33-DM33+$J33</f>
        <v>3.0542234558328413E-2</v>
      </c>
      <c r="DO33" s="16">
        <f>DN33/$D33</f>
        <v>3.0542234558328413E-2</v>
      </c>
      <c r="DP33" s="14">
        <f>DK33*$Y$11</f>
        <v>22.975391460273876</v>
      </c>
      <c r="DQ33" s="14">
        <f>DM33*$M33*$Z$7*$E$11</f>
        <v>50.213331333418182</v>
      </c>
      <c r="DR33" s="14">
        <f>DP33-DQ33+$K33</f>
        <v>61.130060126855632</v>
      </c>
      <c r="DS33" s="44">
        <f>DR33/$D33</f>
        <v>61.130060126855632</v>
      </c>
      <c r="DT33" s="43">
        <f>104+10</f>
        <v>114</v>
      </c>
      <c r="DU33" s="15">
        <f>0.00000491*DT33^3-0.00107023*DT33^2-0.03013591*DT33+15.74788397</f>
        <v>5.6780621900000021</v>
      </c>
      <c r="DV33" s="15">
        <f>$G$22/(DU33*1000)</f>
        <v>8.4075946727532151E-3</v>
      </c>
      <c r="DW33" s="15">
        <f>DU33</f>
        <v>5.6780621900000021</v>
      </c>
      <c r="DX33" s="15">
        <f>($I33/DW33)/1000</f>
        <v>1.2496564430901379E-2</v>
      </c>
      <c r="DY33" s="24">
        <f>DV33-DX33+$J33</f>
        <v>3.0311030241851829E-2</v>
      </c>
      <c r="DZ33" s="16">
        <f>DY33/$D33</f>
        <v>3.0311030241851829E-2</v>
      </c>
      <c r="EA33" s="14">
        <f>DV33*$Z$11</f>
        <v>24.091252666890295</v>
      </c>
      <c r="EB33" s="14">
        <f>DX33*$M33*$AA$7*$E$11</f>
        <v>51.315873266493853</v>
      </c>
      <c r="EC33" s="14">
        <f>EA33-EB33+$K33</f>
        <v>61.143379400396384</v>
      </c>
      <c r="ED33" s="44">
        <f>EC33/$D33</f>
        <v>61.143379400396384</v>
      </c>
      <c r="EE33" s="43">
        <f>100+10</f>
        <v>110</v>
      </c>
      <c r="EF33" s="15">
        <f>0.00000491*EE33^3-0.00107023*EE33^2-0.03013591*EE33+15.74788397</f>
        <v>6.0183608700000022</v>
      </c>
      <c r="EG33" s="15">
        <f>$G$22/(EF33*1000)</f>
        <v>7.9322005528401386E-3</v>
      </c>
      <c r="EH33" s="15">
        <f>EF33</f>
        <v>6.0183608700000022</v>
      </c>
      <c r="EI33" s="15">
        <f>($I33/EH33)/1000</f>
        <v>1.1789965994511721E-2</v>
      </c>
      <c r="EJ33" s="24">
        <f>EG33-EI33+$J33</f>
        <v>3.0542234558328413E-2</v>
      </c>
      <c r="EK33" s="16">
        <f>EJ33/$D33</f>
        <v>3.0542234558328413E-2</v>
      </c>
      <c r="EL33" s="14">
        <f>EG33*$AA$11</f>
        <v>21.914719232863003</v>
      </c>
      <c r="EM33" s="14">
        <f>EI33*$M33*$AB$7*$E$11</f>
        <v>49.175049763546355</v>
      </c>
      <c r="EN33" s="14">
        <f>EL33-EM33+$K33</f>
        <v>61.10766946931659</v>
      </c>
      <c r="EO33" s="44">
        <f>EN33/$D33</f>
        <v>61.10766946931659</v>
      </c>
      <c r="EP33" s="43">
        <f>101+10</f>
        <v>111</v>
      </c>
      <c r="EQ33" s="15">
        <f>0.00000491*EP33^3-0.00107023*EP33^2-0.03013591*EP33+15.74788397</f>
        <v>5.9315623400000028</v>
      </c>
      <c r="ER33" s="15">
        <f>$G$22/(EQ33*1000)</f>
        <v>8.0482750890561242E-3</v>
      </c>
      <c r="ES33" s="15">
        <f>EQ33</f>
        <v>5.9315623400000028</v>
      </c>
      <c r="ET33" s="15">
        <f>($I33/ES33)/1000</f>
        <v>1.196249249906728E-2</v>
      </c>
      <c r="EU33" s="24">
        <f>ER33-ET33+$J33</f>
        <v>3.0485782589988838E-2</v>
      </c>
      <c r="EV33" s="16">
        <f>EU33/$D33</f>
        <v>3.0485782589988838E-2</v>
      </c>
      <c r="EW33" s="14">
        <f>ER33*$AB$11</f>
        <v>22.584797520802699</v>
      </c>
      <c r="EX33" s="14">
        <f>ET33*$M33*$AC$7*$E$11</f>
        <v>51.043011678242806</v>
      </c>
      <c r="EY33" s="14">
        <f>EW33-EX33+$K33</f>
        <v>59.909785842559828</v>
      </c>
      <c r="EZ33" s="44">
        <f>EY33/$D33</f>
        <v>59.909785842559828</v>
      </c>
      <c r="FA33" s="43">
        <f>108+10</f>
        <v>118</v>
      </c>
      <c r="FB33" s="15">
        <f>0.00000491*FA33^3-0.00107023*FA33^2-0.03013591*FA33+15.74788397</f>
        <v>5.357251190000003</v>
      </c>
      <c r="FC33" s="15">
        <f>$G$22/(FB33*1000)</f>
        <v>8.9110709442402417E-3</v>
      </c>
      <c r="FD33" s="15">
        <f>FB33</f>
        <v>5.357251190000003</v>
      </c>
      <c r="FE33" s="15">
        <f>($I33/FD33)/1000</f>
        <v>1.3244902559814442E-2</v>
      </c>
      <c r="FF33" s="24">
        <f>FC33-FE33+$J33</f>
        <v>3.0066168384425794E-2</v>
      </c>
      <c r="FG33" s="16">
        <f>FF33/$D33</f>
        <v>3.0066168384425794E-2</v>
      </c>
      <c r="FH33" s="14">
        <f>FC33*$AC$11</f>
        <v>25.581478866998683</v>
      </c>
      <c r="FI33" s="14">
        <f>FE33*$M33*$AD$7*$E$11</f>
        <v>55.89663267469431</v>
      </c>
      <c r="FJ33" s="14">
        <f>FH33-FI33+$K33</f>
        <v>58.052846192304315</v>
      </c>
      <c r="FK33" s="44">
        <f>FJ33/$D33</f>
        <v>58.052846192304315</v>
      </c>
      <c r="FL33" s="43">
        <f>111+10</f>
        <v>121</v>
      </c>
      <c r="FM33" s="15">
        <f>0.00000491*FL33^3-0.00107023*FL33^2-0.03013591*FL33+15.74788397</f>
        <v>5.1305659400000021</v>
      </c>
      <c r="FN33" s="15">
        <f>$G$22/(FM33*1000)</f>
        <v>9.3047913190265827E-3</v>
      </c>
      <c r="FO33" s="15">
        <f>FM33</f>
        <v>5.1305659400000021</v>
      </c>
      <c r="FP33" s="15">
        <f>($I33/FO33)/1000</f>
        <v>1.3830105845983917E-2</v>
      </c>
      <c r="FQ33" s="24">
        <f>FN33-FP33+$J33</f>
        <v>2.9874685473042659E-2</v>
      </c>
      <c r="FR33" s="16">
        <f>FQ33/$D33</f>
        <v>2.9874685473042659E-2</v>
      </c>
      <c r="FS33" s="14">
        <f>FN33*$AD$11</f>
        <v>26.419503363976215</v>
      </c>
      <c r="FT33" s="14">
        <f>FP33*$M33*$AE$7*$E$11</f>
        <v>64.40637735305144</v>
      </c>
      <c r="FU33" s="14">
        <f>FS33-FT33+$K33</f>
        <v>50.381126010924717</v>
      </c>
      <c r="FV33" s="44">
        <f>FU33/$D33</f>
        <v>50.381126010924717</v>
      </c>
      <c r="FW33" s="43">
        <f>89+10</f>
        <v>99</v>
      </c>
      <c r="FX33" s="15">
        <f>0.00000491*FW33^3-0.00107023*FW33^2-0.03013591*FW33+15.74788397</f>
        <v>7.0392727400000012</v>
      </c>
      <c r="FY33" s="15">
        <f>$G$22/(FX33*1000)</f>
        <v>6.7817865827152863E-3</v>
      </c>
      <c r="FZ33" s="15">
        <f>FX33</f>
        <v>7.0392727400000012</v>
      </c>
      <c r="GA33" s="15">
        <f>($I33/FZ33)/1000</f>
        <v>1.0080056934972517E-2</v>
      </c>
      <c r="GB33" s="24">
        <f>FY33-GA33+$J33</f>
        <v>3.1101729647742764E-2</v>
      </c>
      <c r="GC33" s="16">
        <f>GB33/$D33</f>
        <v>3.1101729647742764E-2</v>
      </c>
      <c r="GD33" s="14">
        <f>FY33*$AE$11</f>
        <v>21.248516804791816</v>
      </c>
      <c r="GE33" s="14">
        <f>GA33*$M33*$AF$7*$E$11</f>
        <v>39.232782130663523</v>
      </c>
      <c r="GF33" s="14">
        <f>GD33-GE33+$K33</f>
        <v>70.383734674128235</v>
      </c>
      <c r="GG33" s="44">
        <f>GF33/$D33</f>
        <v>70.383734674128235</v>
      </c>
    </row>
    <row r="34" spans="2:202" ht="13.8" hidden="1" x14ac:dyDescent="0.25">
      <c r="B34" s="33"/>
      <c r="C34" s="3" t="s">
        <v>156</v>
      </c>
      <c r="D34" s="4"/>
      <c r="E34" s="4"/>
      <c r="F34" s="4"/>
      <c r="G34" s="4"/>
      <c r="H34" s="4"/>
      <c r="I34" s="4"/>
      <c r="J34" s="106"/>
      <c r="K34" s="106"/>
      <c r="L34" s="29"/>
      <c r="M34" s="75"/>
      <c r="N34" s="42"/>
      <c r="O34" s="19"/>
      <c r="P34" s="4"/>
      <c r="Q34" s="19"/>
      <c r="R34" s="4"/>
      <c r="S34" s="25" t="s">
        <v>117</v>
      </c>
      <c r="T34" s="4"/>
      <c r="U34" s="4"/>
      <c r="V34" s="4"/>
      <c r="W34" s="4" t="s">
        <v>117</v>
      </c>
      <c r="X34" s="46"/>
      <c r="Y34" s="42"/>
      <c r="Z34" s="19"/>
      <c r="AA34" s="4"/>
      <c r="AB34" s="19"/>
      <c r="AC34" s="4"/>
      <c r="AD34" s="25" t="s">
        <v>117</v>
      </c>
      <c r="AE34" s="4"/>
      <c r="AF34" s="4"/>
      <c r="AG34" s="4"/>
      <c r="AH34" s="4" t="s">
        <v>117</v>
      </c>
      <c r="AI34" s="46"/>
      <c r="AJ34" s="42"/>
      <c r="AK34" s="19"/>
      <c r="AL34" s="4"/>
      <c r="AM34" s="19"/>
      <c r="AN34" s="4"/>
      <c r="AO34" s="25" t="s">
        <v>117</v>
      </c>
      <c r="AP34" s="4"/>
      <c r="AQ34" s="4"/>
      <c r="AR34" s="4"/>
      <c r="AS34" s="4" t="s">
        <v>117</v>
      </c>
      <c r="AT34" s="46"/>
      <c r="AU34" s="42"/>
      <c r="AV34" s="19"/>
      <c r="AW34" s="179"/>
      <c r="AX34" s="19"/>
      <c r="AY34" s="4"/>
      <c r="AZ34" s="25" t="s">
        <v>117</v>
      </c>
      <c r="BA34" s="4"/>
      <c r="BB34" s="4"/>
      <c r="BC34" s="4"/>
      <c r="BD34" s="4" t="s">
        <v>117</v>
      </c>
      <c r="BE34" s="46"/>
      <c r="BF34" s="42"/>
      <c r="BG34" s="19"/>
      <c r="BH34" s="4"/>
      <c r="BI34" s="19"/>
      <c r="BJ34" s="4"/>
      <c r="BK34" s="25" t="s">
        <v>117</v>
      </c>
      <c r="BL34" s="4"/>
      <c r="BM34" s="4"/>
      <c r="BN34" s="4"/>
      <c r="BO34" s="4" t="s">
        <v>117</v>
      </c>
      <c r="BP34" s="46"/>
      <c r="BQ34" s="42"/>
      <c r="BR34" s="19"/>
      <c r="BS34" s="4"/>
      <c r="BT34" s="19"/>
      <c r="BU34" s="4"/>
      <c r="BV34" s="25" t="s">
        <v>117</v>
      </c>
      <c r="BW34" s="4"/>
      <c r="BX34" s="4"/>
      <c r="BY34" s="4"/>
      <c r="BZ34" s="4" t="s">
        <v>117</v>
      </c>
      <c r="CA34" s="46"/>
      <c r="CB34" s="42"/>
      <c r="CC34" s="19"/>
      <c r="CD34" s="4"/>
      <c r="CE34" s="19"/>
      <c r="CF34" s="4"/>
      <c r="CG34" s="25" t="s">
        <v>117</v>
      </c>
      <c r="CH34" s="4"/>
      <c r="CI34" s="4"/>
      <c r="CJ34" s="4"/>
      <c r="CK34" s="4" t="s">
        <v>117</v>
      </c>
      <c r="CL34" s="46"/>
      <c r="CM34" s="42"/>
      <c r="CN34" s="19"/>
      <c r="CO34" s="4"/>
      <c r="CP34" s="19"/>
      <c r="CQ34" s="4"/>
      <c r="CR34" s="25" t="s">
        <v>117</v>
      </c>
      <c r="CS34" s="4"/>
      <c r="CT34" s="4"/>
      <c r="CU34" s="4"/>
      <c r="CV34" s="4" t="s">
        <v>117</v>
      </c>
      <c r="CW34" s="46"/>
      <c r="CX34" s="42"/>
      <c r="CY34" s="19"/>
      <c r="CZ34" s="4"/>
      <c r="DA34" s="19"/>
      <c r="DB34" s="4"/>
      <c r="DC34" s="25" t="s">
        <v>117</v>
      </c>
      <c r="DD34" s="4"/>
      <c r="DE34" s="4"/>
      <c r="DF34" s="4"/>
      <c r="DG34" s="4" t="s">
        <v>117</v>
      </c>
      <c r="DH34" s="46"/>
      <c r="DI34" s="42"/>
      <c r="DJ34" s="19"/>
      <c r="DK34" s="4"/>
      <c r="DL34" s="19"/>
      <c r="DM34" s="4"/>
      <c r="DN34" s="25" t="s">
        <v>117</v>
      </c>
      <c r="DO34" s="4"/>
      <c r="DP34" s="4"/>
      <c r="DQ34" s="4"/>
      <c r="DR34" s="4" t="s">
        <v>117</v>
      </c>
      <c r="DS34" s="46"/>
      <c r="DT34" s="42"/>
      <c r="DU34" s="19"/>
      <c r="DV34" s="4"/>
      <c r="DW34" s="19"/>
      <c r="DX34" s="4"/>
      <c r="DY34" s="25" t="s">
        <v>117</v>
      </c>
      <c r="DZ34" s="4"/>
      <c r="EA34" s="4"/>
      <c r="EB34" s="4"/>
      <c r="EC34" s="4" t="s">
        <v>117</v>
      </c>
      <c r="ED34" s="46"/>
      <c r="EE34" s="42"/>
      <c r="EF34" s="19"/>
      <c r="EG34" s="4"/>
      <c r="EH34" s="19"/>
      <c r="EI34" s="4"/>
      <c r="EJ34" s="25" t="s">
        <v>117</v>
      </c>
      <c r="EK34" s="4"/>
      <c r="EL34" s="4"/>
      <c r="EM34" s="4"/>
      <c r="EN34" s="4" t="s">
        <v>117</v>
      </c>
      <c r="EO34" s="46"/>
      <c r="EP34" s="42"/>
      <c r="EQ34" s="19"/>
      <c r="ER34" s="4"/>
      <c r="ES34" s="19"/>
      <c r="ET34" s="4"/>
      <c r="EU34" s="25" t="s">
        <v>117</v>
      </c>
      <c r="EV34" s="4"/>
      <c r="EW34" s="4"/>
      <c r="EX34" s="4"/>
      <c r="EY34" s="4" t="s">
        <v>117</v>
      </c>
      <c r="EZ34" s="46"/>
      <c r="FA34" s="42"/>
      <c r="FB34" s="19"/>
      <c r="FC34" s="4"/>
      <c r="FD34" s="19"/>
      <c r="FE34" s="4"/>
      <c r="FF34" s="25" t="s">
        <v>117</v>
      </c>
      <c r="FG34" s="4"/>
      <c r="FH34" s="4"/>
      <c r="FI34" s="4"/>
      <c r="FJ34" s="4" t="s">
        <v>117</v>
      </c>
      <c r="FK34" s="46"/>
      <c r="FL34" s="42"/>
      <c r="FM34" s="19"/>
      <c r="FN34" s="4"/>
      <c r="FO34" s="19"/>
      <c r="FP34" s="4"/>
      <c r="FQ34" s="25" t="s">
        <v>117</v>
      </c>
      <c r="FR34" s="4"/>
      <c r="FS34" s="4"/>
      <c r="FT34" s="4"/>
      <c r="FU34" s="4" t="s">
        <v>117</v>
      </c>
      <c r="FV34" s="46"/>
      <c r="FW34" s="42"/>
      <c r="FX34" s="19"/>
      <c r="FY34" s="4"/>
      <c r="FZ34" s="19"/>
      <c r="GA34" s="4"/>
      <c r="GB34" s="25" t="s">
        <v>117</v>
      </c>
      <c r="GC34" s="4"/>
      <c r="GD34" s="4"/>
      <c r="GE34" s="4"/>
      <c r="GF34" s="4" t="s">
        <v>117</v>
      </c>
      <c r="GG34" s="46"/>
    </row>
    <row r="35" spans="2:202" ht="13.8" hidden="1" x14ac:dyDescent="0.25">
      <c r="B35" s="34"/>
      <c r="C35" s="3" t="s">
        <v>156</v>
      </c>
      <c r="D35" s="2"/>
      <c r="E35" s="2"/>
      <c r="F35" s="2"/>
      <c r="G35" s="2"/>
      <c r="H35" s="2"/>
      <c r="I35" s="2"/>
      <c r="J35" s="107"/>
      <c r="K35" s="107"/>
      <c r="L35" s="32"/>
      <c r="M35" s="76"/>
      <c r="N35" s="41"/>
      <c r="O35" s="20"/>
      <c r="P35" s="2"/>
      <c r="Q35" s="20"/>
      <c r="R35" s="2"/>
      <c r="S35" s="26"/>
      <c r="T35" s="2"/>
      <c r="U35" s="2"/>
      <c r="V35" s="2"/>
      <c r="W35" s="2"/>
      <c r="X35" s="47"/>
      <c r="Y35" s="41"/>
      <c r="Z35" s="20"/>
      <c r="AA35" s="2"/>
      <c r="AB35" s="20"/>
      <c r="AC35" s="2"/>
      <c r="AD35" s="26"/>
      <c r="AE35" s="2"/>
      <c r="AF35" s="2"/>
      <c r="AG35" s="2"/>
      <c r="AH35" s="2"/>
      <c r="AI35" s="47"/>
      <c r="AJ35" s="41"/>
      <c r="AK35" s="20"/>
      <c r="AL35" s="2"/>
      <c r="AM35" s="20"/>
      <c r="AN35" s="2"/>
      <c r="AO35" s="26"/>
      <c r="AP35" s="2"/>
      <c r="AQ35" s="2"/>
      <c r="AR35" s="2"/>
      <c r="AS35" s="2"/>
      <c r="AT35" s="47"/>
      <c r="AU35" s="41"/>
      <c r="AV35" s="20"/>
      <c r="AW35" s="180"/>
      <c r="AX35" s="20"/>
      <c r="AY35" s="2"/>
      <c r="AZ35" s="26"/>
      <c r="BA35" s="2"/>
      <c r="BB35" s="2"/>
      <c r="BC35" s="2"/>
      <c r="BD35" s="2"/>
      <c r="BE35" s="47"/>
      <c r="BF35" s="41"/>
      <c r="BG35" s="20"/>
      <c r="BH35" s="2"/>
      <c r="BI35" s="20"/>
      <c r="BJ35" s="2"/>
      <c r="BK35" s="26"/>
      <c r="BL35" s="2"/>
      <c r="BM35" s="2"/>
      <c r="BN35" s="2"/>
      <c r="BO35" s="2"/>
      <c r="BP35" s="47"/>
      <c r="BQ35" s="41"/>
      <c r="BR35" s="20"/>
      <c r="BS35" s="2"/>
      <c r="BT35" s="20"/>
      <c r="BU35" s="2"/>
      <c r="BV35" s="26"/>
      <c r="BW35" s="2"/>
      <c r="BX35" s="2"/>
      <c r="BY35" s="2"/>
      <c r="BZ35" s="2"/>
      <c r="CA35" s="47"/>
      <c r="CB35" s="41"/>
      <c r="CC35" s="20"/>
      <c r="CD35" s="2"/>
      <c r="CE35" s="20"/>
      <c r="CF35" s="2"/>
      <c r="CG35" s="26"/>
      <c r="CH35" s="2"/>
      <c r="CI35" s="2"/>
      <c r="CJ35" s="2"/>
      <c r="CK35" s="2"/>
      <c r="CL35" s="47"/>
      <c r="CM35" s="41"/>
      <c r="CN35" s="20"/>
      <c r="CO35" s="2"/>
      <c r="CP35" s="20"/>
      <c r="CQ35" s="2"/>
      <c r="CR35" s="26"/>
      <c r="CS35" s="2"/>
      <c r="CT35" s="2"/>
      <c r="CU35" s="2"/>
      <c r="CV35" s="2"/>
      <c r="CW35" s="47"/>
      <c r="CX35" s="41"/>
      <c r="CY35" s="20"/>
      <c r="CZ35" s="2"/>
      <c r="DA35" s="20"/>
      <c r="DB35" s="2"/>
      <c r="DC35" s="26"/>
      <c r="DD35" s="2"/>
      <c r="DE35" s="2"/>
      <c r="DF35" s="2"/>
      <c r="DG35" s="2"/>
      <c r="DH35" s="47"/>
      <c r="DI35" s="41"/>
      <c r="DJ35" s="20"/>
      <c r="DK35" s="2"/>
      <c r="DL35" s="20"/>
      <c r="DM35" s="2"/>
      <c r="DN35" s="26"/>
      <c r="DO35" s="2"/>
      <c r="DP35" s="2"/>
      <c r="DQ35" s="2"/>
      <c r="DR35" s="2"/>
      <c r="DS35" s="47"/>
      <c r="DT35" s="41"/>
      <c r="DU35" s="20"/>
      <c r="DV35" s="2"/>
      <c r="DW35" s="20"/>
      <c r="DX35" s="2"/>
      <c r="DY35" s="26"/>
      <c r="DZ35" s="2"/>
      <c r="EA35" s="2"/>
      <c r="EB35" s="2"/>
      <c r="EC35" s="2"/>
      <c r="ED35" s="47"/>
      <c r="EE35" s="41"/>
      <c r="EF35" s="20"/>
      <c r="EG35" s="2"/>
      <c r="EH35" s="20"/>
      <c r="EI35" s="2"/>
      <c r="EJ35" s="26"/>
      <c r="EK35" s="2"/>
      <c r="EL35" s="2"/>
      <c r="EM35" s="2"/>
      <c r="EN35" s="2"/>
      <c r="EO35" s="47"/>
      <c r="EP35" s="41"/>
      <c r="EQ35" s="20"/>
      <c r="ER35" s="2"/>
      <c r="ES35" s="20"/>
      <c r="ET35" s="2"/>
      <c r="EU35" s="26"/>
      <c r="EV35" s="2"/>
      <c r="EW35" s="2"/>
      <c r="EX35" s="2"/>
      <c r="EY35" s="2"/>
      <c r="EZ35" s="47"/>
      <c r="FA35" s="41"/>
      <c r="FB35" s="20"/>
      <c r="FC35" s="2"/>
      <c r="FD35" s="20"/>
      <c r="FE35" s="2"/>
      <c r="FF35" s="26"/>
      <c r="FG35" s="2"/>
      <c r="FH35" s="2"/>
      <c r="FI35" s="2"/>
      <c r="FJ35" s="2"/>
      <c r="FK35" s="47"/>
      <c r="FL35" s="41"/>
      <c r="FM35" s="20"/>
      <c r="FN35" s="2"/>
      <c r="FO35" s="20"/>
      <c r="FP35" s="2"/>
      <c r="FQ35" s="26"/>
      <c r="FR35" s="2"/>
      <c r="FS35" s="2"/>
      <c r="FT35" s="2"/>
      <c r="FU35" s="2"/>
      <c r="FV35" s="47"/>
      <c r="FW35" s="41"/>
      <c r="FX35" s="20"/>
      <c r="FY35" s="2"/>
      <c r="FZ35" s="20"/>
      <c r="GA35" s="2"/>
      <c r="GB35" s="26"/>
      <c r="GC35" s="2"/>
      <c r="GD35" s="2"/>
      <c r="GE35" s="2"/>
      <c r="GF35" s="2"/>
      <c r="GG35" s="47"/>
    </row>
    <row r="36" spans="2:202" ht="14.4" hidden="1" x14ac:dyDescent="0.3">
      <c r="B36" s="30"/>
      <c r="C36" s="3" t="s">
        <v>156</v>
      </c>
      <c r="D36" s="7"/>
      <c r="E36" s="7"/>
      <c r="F36" s="3"/>
      <c r="G36" s="3"/>
      <c r="H36" s="8"/>
      <c r="I36" s="12"/>
      <c r="J36" s="108"/>
      <c r="K36" s="108"/>
      <c r="L36" s="98"/>
      <c r="M36" s="97"/>
      <c r="N36" s="45"/>
      <c r="O36" s="22"/>
      <c r="P36" s="15"/>
      <c r="Q36" s="22"/>
      <c r="R36" s="15"/>
      <c r="S36" s="24"/>
      <c r="T36" s="16"/>
      <c r="U36" s="14"/>
      <c r="V36" s="14"/>
      <c r="W36" s="14"/>
      <c r="X36" s="44"/>
      <c r="Y36" s="45"/>
      <c r="Z36" s="22"/>
      <c r="AA36" s="15"/>
      <c r="AB36" s="22"/>
      <c r="AC36" s="15"/>
      <c r="AD36" s="24"/>
      <c r="AE36" s="16"/>
      <c r="AF36" s="14"/>
      <c r="AG36" s="14"/>
      <c r="AH36" s="14"/>
      <c r="AI36" s="44"/>
      <c r="AJ36" s="45"/>
      <c r="AK36" s="22"/>
      <c r="AL36" s="15"/>
      <c r="AM36" s="22"/>
      <c r="AN36" s="15"/>
      <c r="AO36" s="24"/>
      <c r="AP36" s="16"/>
      <c r="AQ36" s="14"/>
      <c r="AR36" s="14"/>
      <c r="AS36" s="14"/>
      <c r="AT36" s="44"/>
      <c r="AU36" s="45"/>
      <c r="AV36" s="22"/>
      <c r="AW36" s="178"/>
      <c r="AX36" s="22"/>
      <c r="AY36" s="15"/>
      <c r="AZ36" s="24"/>
      <c r="BA36" s="16"/>
      <c r="BB36" s="14"/>
      <c r="BC36" s="14"/>
      <c r="BD36" s="14"/>
      <c r="BE36" s="44"/>
      <c r="BF36" s="45"/>
      <c r="BG36" s="22"/>
      <c r="BH36" s="15"/>
      <c r="BI36" s="22"/>
      <c r="BJ36" s="15"/>
      <c r="BK36" s="24"/>
      <c r="BL36" s="16"/>
      <c r="BM36" s="14"/>
      <c r="BN36" s="14"/>
      <c r="BO36" s="14"/>
      <c r="BP36" s="44"/>
      <c r="BQ36" s="45"/>
      <c r="BR36" s="22"/>
      <c r="BS36" s="15"/>
      <c r="BT36" s="22"/>
      <c r="BU36" s="15"/>
      <c r="BV36" s="24"/>
      <c r="BW36" s="16"/>
      <c r="BX36" s="14"/>
      <c r="BY36" s="14"/>
      <c r="BZ36" s="14"/>
      <c r="CA36" s="44"/>
      <c r="CB36" s="45"/>
      <c r="CC36" s="22"/>
      <c r="CD36" s="15"/>
      <c r="CE36" s="22"/>
      <c r="CF36" s="15"/>
      <c r="CG36" s="24"/>
      <c r="CH36" s="16"/>
      <c r="CI36" s="14"/>
      <c r="CJ36" s="14"/>
      <c r="CK36" s="14"/>
      <c r="CL36" s="44"/>
      <c r="CM36" s="45"/>
      <c r="CN36" s="22"/>
      <c r="CO36" s="15"/>
      <c r="CP36" s="22"/>
      <c r="CQ36" s="15"/>
      <c r="CR36" s="24"/>
      <c r="CS36" s="16"/>
      <c r="CT36" s="14"/>
      <c r="CU36" s="14"/>
      <c r="CV36" s="14"/>
      <c r="CW36" s="44"/>
      <c r="CX36" s="45"/>
      <c r="CY36" s="22"/>
      <c r="CZ36" s="15"/>
      <c r="DA36" s="22"/>
      <c r="DB36" s="15"/>
      <c r="DC36" s="24"/>
      <c r="DD36" s="16"/>
      <c r="DE36" s="14"/>
      <c r="DF36" s="14"/>
      <c r="DG36" s="14"/>
      <c r="DH36" s="44"/>
      <c r="DI36" s="45"/>
      <c r="DJ36" s="22"/>
      <c r="DK36" s="15"/>
      <c r="DL36" s="22"/>
      <c r="DM36" s="15"/>
      <c r="DN36" s="24"/>
      <c r="DO36" s="16"/>
      <c r="DP36" s="14"/>
      <c r="DQ36" s="14"/>
      <c r="DR36" s="14"/>
      <c r="DS36" s="44"/>
      <c r="DT36" s="45"/>
      <c r="DU36" s="22"/>
      <c r="DV36" s="15"/>
      <c r="DW36" s="22"/>
      <c r="DX36" s="15"/>
      <c r="DY36" s="24"/>
      <c r="DZ36" s="16"/>
      <c r="EA36" s="14"/>
      <c r="EB36" s="14"/>
      <c r="EC36" s="14"/>
      <c r="ED36" s="44"/>
      <c r="EE36" s="45"/>
      <c r="EF36" s="22"/>
      <c r="EG36" s="15"/>
      <c r="EH36" s="22"/>
      <c r="EI36" s="15"/>
      <c r="EJ36" s="24"/>
      <c r="EK36" s="16"/>
      <c r="EL36" s="14"/>
      <c r="EM36" s="14"/>
      <c r="EN36" s="14"/>
      <c r="EO36" s="44"/>
      <c r="EP36" s="45"/>
      <c r="EQ36" s="22"/>
      <c r="ER36" s="15"/>
      <c r="ES36" s="22"/>
      <c r="ET36" s="15"/>
      <c r="EU36" s="24"/>
      <c r="EV36" s="16"/>
      <c r="EW36" s="14"/>
      <c r="EX36" s="14"/>
      <c r="EY36" s="14"/>
      <c r="EZ36" s="44"/>
      <c r="FA36" s="45"/>
      <c r="FB36" s="22"/>
      <c r="FC36" s="15"/>
      <c r="FD36" s="22"/>
      <c r="FE36" s="15"/>
      <c r="FF36" s="24"/>
      <c r="FG36" s="16"/>
      <c r="FH36" s="14"/>
      <c r="FI36" s="14"/>
      <c r="FJ36" s="14"/>
      <c r="FK36" s="44"/>
      <c r="FL36" s="45"/>
      <c r="FM36" s="22"/>
      <c r="FN36" s="15"/>
      <c r="FO36" s="22"/>
      <c r="FP36" s="15"/>
      <c r="FQ36" s="24"/>
      <c r="FR36" s="16"/>
      <c r="FS36" s="14"/>
      <c r="FT36" s="14"/>
      <c r="FU36" s="14"/>
      <c r="FV36" s="44"/>
      <c r="FW36" s="45"/>
      <c r="FX36" s="22"/>
      <c r="FY36" s="15"/>
      <c r="FZ36" s="22"/>
      <c r="GA36" s="15"/>
      <c r="GB36" s="24"/>
      <c r="GC36" s="16"/>
      <c r="GD36" s="14"/>
      <c r="GE36" s="14"/>
      <c r="GF36" s="14"/>
      <c r="GG36" s="44"/>
      <c r="GH36" s="1" t="s">
        <v>0</v>
      </c>
      <c r="GI36" s="61" t="e">
        <f>#REF!</f>
        <v>#REF!</v>
      </c>
      <c r="GJ36" s="62" t="e">
        <f>#REF!</f>
        <v>#REF!</v>
      </c>
      <c r="GK36" s="61" t="e">
        <f>#REF!</f>
        <v>#REF!</v>
      </c>
      <c r="GL36" s="62" t="e">
        <f>#REF!</f>
        <v>#REF!</v>
      </c>
      <c r="GM36" s="61" t="e">
        <f>#REF!</f>
        <v>#REF!</v>
      </c>
      <c r="GN36" s="62" t="e">
        <f>#REF!</f>
        <v>#REF!</v>
      </c>
      <c r="GO36" s="61" t="e">
        <f>#REF!</f>
        <v>#REF!</v>
      </c>
      <c r="GP36" s="62" t="e">
        <f>#REF!</f>
        <v>#REF!</v>
      </c>
      <c r="GQ36" s="61" t="e">
        <f>#REF!</f>
        <v>#REF!</v>
      </c>
      <c r="GR36" s="62" t="e">
        <f>#REF!</f>
        <v>#REF!</v>
      </c>
      <c r="GS36" s="61" t="e">
        <f>#REF!</f>
        <v>#REF!</v>
      </c>
      <c r="GT36" s="62" t="e">
        <f>#REF!</f>
        <v>#REF!</v>
      </c>
    </row>
    <row r="37" spans="2:202" ht="13.8" x14ac:dyDescent="0.25">
      <c r="B37" s="31" t="s">
        <v>152</v>
      </c>
      <c r="C37" s="3" t="s">
        <v>156</v>
      </c>
      <c r="D37" s="3">
        <v>1</v>
      </c>
      <c r="E37" s="3">
        <v>38</v>
      </c>
      <c r="F37" s="3">
        <f>E37-10</f>
        <v>28</v>
      </c>
      <c r="G37" s="11">
        <f>'Cooling Load'!$D$33</f>
        <v>73.219369520547943</v>
      </c>
      <c r="H37" s="14">
        <f>G37*1.15</f>
        <v>84.202274948630134</v>
      </c>
      <c r="I37" s="14">
        <f>'Cooling Load'!$I$33</f>
        <v>10.031726484018265</v>
      </c>
      <c r="J37" s="110">
        <f>'Cooling Load'!I20</f>
        <v>5.0166666666666672E-2</v>
      </c>
      <c r="K37" s="109">
        <f>'Cooling Load'!I26</f>
        <v>236.28500000000003</v>
      </c>
      <c r="L37" s="98">
        <f>I37/H37</f>
        <v>0.11913842577458138</v>
      </c>
      <c r="M37" s="97">
        <f>(1-(1-L37))*(1-$D$8)</f>
        <v>0.11318150448585226</v>
      </c>
      <c r="N37" s="43">
        <f>69+15</f>
        <v>84</v>
      </c>
      <c r="O37" s="15">
        <f>-0.00002515*N37^3+0.0100767*N37^2-1.45844836*N37+82.96962576</f>
        <v>16.654653119999992</v>
      </c>
      <c r="P37" s="15">
        <f>$G$37/(O37*1000)</f>
        <v>4.3963311029649342E-3</v>
      </c>
      <c r="Q37" s="15">
        <f>O37</f>
        <v>16.654653119999992</v>
      </c>
      <c r="R37" s="15">
        <f>($I37/Q37)/1000</f>
        <v>6.0233776180973193E-4</v>
      </c>
      <c r="S37" s="24">
        <f>P37-R37+$J37</f>
        <v>5.3960660007821876E-2</v>
      </c>
      <c r="T37" s="16">
        <f>S37/$D37</f>
        <v>5.3960660007821876E-2</v>
      </c>
      <c r="U37" s="14">
        <f>P37*$Q$10</f>
        <v>12.702374065586795</v>
      </c>
      <c r="V37" s="14">
        <f>R37*$M37*$Q$7*$D$11</f>
        <v>0.23844284399945997</v>
      </c>
      <c r="W37" s="14">
        <f>U37-V37+$K37</f>
        <v>248.74893122158736</v>
      </c>
      <c r="X37" s="44">
        <f>W37/$D37</f>
        <v>248.74893122158736</v>
      </c>
      <c r="Y37" s="43">
        <f>96+15</f>
        <v>111</v>
      </c>
      <c r="Z37" s="15">
        <f>-0.00002515*Y37^3+0.0100767*Y37^2-1.45844836*Y37+82.96962576</f>
        <v>10.840958850000007</v>
      </c>
      <c r="AA37" s="15">
        <f>$G$37/(Z37*1000)</f>
        <v>6.7539569639218679E-3</v>
      </c>
      <c r="AB37" s="15">
        <f>Z37</f>
        <v>10.840958850000007</v>
      </c>
      <c r="AC37" s="15">
        <f>($I37/AB37)/1000</f>
        <v>9.2535417049556079E-4</v>
      </c>
      <c r="AD37" s="24">
        <f>AA37-AC37+$J37</f>
        <v>5.5995269460092978E-2</v>
      </c>
      <c r="AE37" s="16">
        <f>AD37/$D37</f>
        <v>5.5995269460092978E-2</v>
      </c>
      <c r="AF37" s="14">
        <f>AA37*$R$10</f>
        <v>19.657083876806762</v>
      </c>
      <c r="AG37" s="14">
        <f>AC37*$M37*$R$7*$D$11</f>
        <v>0.36899330472560854</v>
      </c>
      <c r="AH37" s="14">
        <f>AF37-AG37+$K37</f>
        <v>255.57309057208118</v>
      </c>
      <c r="AI37" s="44">
        <f>AH37/$D37</f>
        <v>255.57309057208118</v>
      </c>
      <c r="AJ37" s="43">
        <f>89+15</f>
        <v>104</v>
      </c>
      <c r="AK37" s="15">
        <f>-0.00002515*AJ37^3+0.0100767*AJ37^2-1.45844836*AJ37+82.96962576</f>
        <v>11.990253919999972</v>
      </c>
      <c r="AL37" s="15">
        <f>$G$37/(AK37*1000)</f>
        <v>6.1065737230482364E-3</v>
      </c>
      <c r="AM37" s="15">
        <f>AK37</f>
        <v>11.990253919999972</v>
      </c>
      <c r="AN37" s="15">
        <f>($I37/AM37)/1000</f>
        <v>8.3665671727645012E-4</v>
      </c>
      <c r="AO37" s="24">
        <f>AL37-AN37+$J37</f>
        <v>5.5436583672438457E-2</v>
      </c>
      <c r="AP37" s="16">
        <f>AO37/$D37</f>
        <v>5.5436583672438457E-2</v>
      </c>
      <c r="AQ37" s="14">
        <f>AL37*$Q$10</f>
        <v>17.643799311869167</v>
      </c>
      <c r="AR37" s="14">
        <f>AN37*$M37*$S$7*$D$11</f>
        <v>0.33917311975988679</v>
      </c>
      <c r="AS37" s="14">
        <f>AQ37-AR37+$K37</f>
        <v>253.58962619210931</v>
      </c>
      <c r="AT37" s="44">
        <f>AS37/$D37</f>
        <v>253.58962619210931</v>
      </c>
      <c r="AU37" s="43">
        <f>88+15</f>
        <v>103</v>
      </c>
      <c r="AV37" s="15">
        <f>-0.00002515*AU37^3+0.0100767*AU37^2-1.45844836*AU37+82.96962576</f>
        <v>12.171070929999985</v>
      </c>
      <c r="AW37" s="178">
        <f>$G$37/(AV37*1000)</f>
        <v>6.0158526674980138E-3</v>
      </c>
      <c r="AX37" s="15">
        <f>AV37</f>
        <v>12.171070929999985</v>
      </c>
      <c r="AY37" s="15">
        <f>($I37/AX37)/1000</f>
        <v>8.2422709897215899E-4</v>
      </c>
      <c r="AZ37" s="24">
        <f>AW37-AY37+$J37</f>
        <v>5.5358292235192529E-2</v>
      </c>
      <c r="BA37" s="16">
        <f>AZ37/$D37</f>
        <v>5.5358292235192529E-2</v>
      </c>
      <c r="BB37" s="14">
        <f>AW37*$S$10</f>
        <v>17.800066212109407</v>
      </c>
      <c r="BC37" s="14">
        <f>AY37*$M37*$T$7*$D$11</f>
        <v>0.34215208594289465</v>
      </c>
      <c r="BD37" s="14">
        <f>BB37-BC37+$K37</f>
        <v>253.74291412616654</v>
      </c>
      <c r="BE37" s="44">
        <f>BD37/$D37</f>
        <v>253.74291412616654</v>
      </c>
      <c r="BF37" s="43">
        <f>83+15</f>
        <v>98</v>
      </c>
      <c r="BG37" s="15">
        <f>-0.00002515*BF37^3+0.0100767*BF37^2-1.45844836*BF37+82.96962576</f>
        <v>13.147334479999984</v>
      </c>
      <c r="BH37" s="15">
        <f>$G$37/(BG37*1000)</f>
        <v>5.5691417626843581E-3</v>
      </c>
      <c r="BI37" s="15">
        <f>BG37</f>
        <v>13.147334479999984</v>
      </c>
      <c r="BJ37" s="15">
        <f>($I37/BI37)/1000</f>
        <v>7.6302359989994541E-4</v>
      </c>
      <c r="BK37" s="24">
        <f>BH37-BJ37+$J37</f>
        <v>5.4972784829451088E-2</v>
      </c>
      <c r="BL37" s="16">
        <f>BK37/$D37</f>
        <v>5.4972784829451088E-2</v>
      </c>
      <c r="BM37" s="14">
        <f>BH37*$T$10</f>
        <v>16.873721554679673</v>
      </c>
      <c r="BN37" s="14">
        <f>BJ37*$M37*$U$7*$D$11</f>
        <v>0.31020470243655629</v>
      </c>
      <c r="BO37" s="14">
        <f>BM37-BN37+$K37</f>
        <v>252.84851685224314</v>
      </c>
      <c r="BP37" s="44">
        <f>BO37/$D37</f>
        <v>252.84851685224314</v>
      </c>
      <c r="BQ37" s="43">
        <f>86+15</f>
        <v>101</v>
      </c>
      <c r="BR37" s="15">
        <f>-0.00002515*BQ37^3+0.0100767*BQ37^2-1.45844836*BQ37+82.96962576</f>
        <v>12.546687949999992</v>
      </c>
      <c r="BS37" s="16">
        <f>$G$37/(BR37*1000)</f>
        <v>5.835752814793484E-3</v>
      </c>
      <c r="BT37" s="15">
        <f>BR37</f>
        <v>12.546687949999992</v>
      </c>
      <c r="BU37" s="15">
        <f>($I37/BT37)/1000</f>
        <v>7.995517640986895E-4</v>
      </c>
      <c r="BV37" s="24">
        <f>BS37-BU37+$J37</f>
        <v>5.5202867717361465E-2</v>
      </c>
      <c r="BW37" s="16">
        <f>BV37/$D37</f>
        <v>5.5202867717361465E-2</v>
      </c>
      <c r="BX37" s="14">
        <f>BS37*$U$10</f>
        <v>17.316399509980123</v>
      </c>
      <c r="BY37" s="14">
        <f>BU37*$M37*$V$7*$D$11</f>
        <v>0.33629221426979494</v>
      </c>
      <c r="BZ37" s="14">
        <f>BX37-BY37+$K37</f>
        <v>253.26510729571035</v>
      </c>
      <c r="CA37" s="44">
        <f>BZ37/$D37</f>
        <v>253.26510729571035</v>
      </c>
      <c r="CB37" s="43">
        <f>83+15</f>
        <v>98</v>
      </c>
      <c r="CC37" s="15">
        <f>-0.00002515*CB37^3+0.0100767*CB37^2-1.45844836*CB37+82.96962576</f>
        <v>13.147334479999984</v>
      </c>
      <c r="CD37" s="15">
        <f>$G$37/(CC37*1000)</f>
        <v>5.5691417626843581E-3</v>
      </c>
      <c r="CE37" s="15">
        <f>CC37</f>
        <v>13.147334479999984</v>
      </c>
      <c r="CF37" s="15">
        <f>($I37/CE37)/1000</f>
        <v>7.6302359989994541E-4</v>
      </c>
      <c r="CG37" s="24">
        <f>CD37-CF37+$J37</f>
        <v>5.4972784829451088E-2</v>
      </c>
      <c r="CH37" s="16">
        <f>CG37/$D37</f>
        <v>5.4972784829451088E-2</v>
      </c>
      <c r="CI37" s="14">
        <f>CD37*$V$10</f>
        <v>17.096562659924928</v>
      </c>
      <c r="CJ37" s="14">
        <f>CF37*$M37*$W$7*$D$11</f>
        <v>0.3242909660570466</v>
      </c>
      <c r="CK37" s="14">
        <f>CI37-CJ37+$K37</f>
        <v>253.0572716938679</v>
      </c>
      <c r="CL37" s="44">
        <f>CK37/$D37</f>
        <v>253.0572716938679</v>
      </c>
      <c r="CM37" s="43">
        <f>94+15</f>
        <v>109</v>
      </c>
      <c r="CN37" s="15">
        <f>-0.00002515*CM37^3+0.0100767*CM37^2-1.45844836*CM37+82.96962576</f>
        <v>11.150047869999966</v>
      </c>
      <c r="CO37" s="15">
        <f>$G$37/(CN37*1000)</f>
        <v>6.5667314054812364E-3</v>
      </c>
      <c r="CP37" s="15">
        <f>CN37</f>
        <v>11.150047869999966</v>
      </c>
      <c r="CQ37" s="15">
        <f>($I37/CP37)/1000</f>
        <v>8.9970254845356961E-4</v>
      </c>
      <c r="CR37" s="24">
        <f>CO37-CQ37+$J37</f>
        <v>5.5833695523694341E-2</v>
      </c>
      <c r="CS37" s="16">
        <f>CR37/$D37</f>
        <v>5.5833695523694341E-2</v>
      </c>
      <c r="CT37" s="14">
        <f>CO37*$W$10</f>
        <v>20.370253571234059</v>
      </c>
      <c r="CU37" s="14">
        <f>CQ37*$M37*$X$7*$D$11</f>
        <v>0.38070435903110955</v>
      </c>
      <c r="CV37" s="14">
        <f>CT37-CU37+$K37</f>
        <v>256.274549212203</v>
      </c>
      <c r="CW37" s="44">
        <f>CV37/$D37</f>
        <v>256.274549212203</v>
      </c>
      <c r="CX37" s="43">
        <f>96+15</f>
        <v>111</v>
      </c>
      <c r="CY37" s="15">
        <f>-0.00002515*CX37^3+0.0100767*CX37^2-1.45844836*CX37+82.96962576</f>
        <v>10.840958850000007</v>
      </c>
      <c r="CZ37" s="15">
        <f>$G$37/(CY37*1000)</f>
        <v>6.7539569639218679E-3</v>
      </c>
      <c r="DA37" s="15">
        <f>CY37</f>
        <v>10.840958850000007</v>
      </c>
      <c r="DB37" s="15">
        <f>($I37/DA37)/1000</f>
        <v>9.2535417049556079E-4</v>
      </c>
      <c r="DC37" s="24">
        <f>CZ37-DB37+$J37</f>
        <v>5.5995269460092978E-2</v>
      </c>
      <c r="DD37" s="16">
        <f>DC37/$D37</f>
        <v>5.5995269460092978E-2</v>
      </c>
      <c r="DE37" s="14">
        <f>CZ37*$X$10</f>
        <v>20.859192411383724</v>
      </c>
      <c r="DF37" s="14">
        <f>DB37*$M37*$Y$7*$D$11</f>
        <v>0.38762163916610559</v>
      </c>
      <c r="DG37" s="14">
        <f>DE37-DF37+$K37</f>
        <v>256.75657077221763</v>
      </c>
      <c r="DH37" s="44">
        <f>DG37/$D37</f>
        <v>256.75657077221763</v>
      </c>
      <c r="DI37" s="43">
        <f>100+15</f>
        <v>115</v>
      </c>
      <c r="DJ37" s="15">
        <f>-0.00002515*DI37^3+0.0100767*DI37^2-1.45844836*DI37+82.96962576</f>
        <v>10.262415609999962</v>
      </c>
      <c r="DK37" s="15">
        <f>$G$37/(DJ37*1000)</f>
        <v>7.1347109981787435E-3</v>
      </c>
      <c r="DL37" s="15">
        <f>DJ37</f>
        <v>10.262415609999962</v>
      </c>
      <c r="DM37" s="15">
        <f>($I37/DL37)/1000</f>
        <v>9.7752097218154876E-4</v>
      </c>
      <c r="DN37" s="24">
        <f>DK37-DM37+$J37</f>
        <v>5.6323856692663869E-2</v>
      </c>
      <c r="DO37" s="16">
        <f>DN37/$D37</f>
        <v>5.6323856692663869E-2</v>
      </c>
      <c r="DP37" s="14">
        <f>DK37*$Y$10</f>
        <v>21.813568377926472</v>
      </c>
      <c r="DQ37" s="14">
        <f>DM37*$M37*$Z$7*$D$11</f>
        <v>0.40508344370864718</v>
      </c>
      <c r="DR37" s="14">
        <f>DP37-DQ37+$K37</f>
        <v>257.69348493421785</v>
      </c>
      <c r="DS37" s="44">
        <f>DR37/$D37</f>
        <v>257.69348493421785</v>
      </c>
      <c r="DT37" s="43">
        <f>104+15</f>
        <v>119</v>
      </c>
      <c r="DU37" s="15">
        <f>-0.00002515*DT37^3+0.0100767*DT37^2-1.45844836*DT37+82.96962576</f>
        <v>9.7286707699999653</v>
      </c>
      <c r="DV37" s="15">
        <f>$G$37/(DU37*1000)</f>
        <v>7.5261432164332766E-3</v>
      </c>
      <c r="DW37" s="15">
        <f>DU37</f>
        <v>9.7286707699999653</v>
      </c>
      <c r="DX37" s="15">
        <f>($I37/DW37)/1000</f>
        <v>1.0311507832038908E-3</v>
      </c>
      <c r="DY37" s="24">
        <f>DV37-DX37+$J37</f>
        <v>5.666165909989606E-2</v>
      </c>
      <c r="DZ37" s="16">
        <f>DY37/$D37</f>
        <v>5.666165909989606E-2</v>
      </c>
      <c r="EA37" s="14">
        <f>DV37*$Z$10</f>
        <v>22.76361282691672</v>
      </c>
      <c r="EB37" s="14">
        <f>DX37*$M37*$AA$7*$D$11</f>
        <v>0.41199808204983818</v>
      </c>
      <c r="EC37" s="14">
        <f>EA37-EB37+$K37</f>
        <v>258.6366147448669</v>
      </c>
      <c r="ED37" s="44">
        <f>EC37/$D37</f>
        <v>258.6366147448669</v>
      </c>
      <c r="EE37" s="43">
        <f>100+15</f>
        <v>115</v>
      </c>
      <c r="EF37" s="15">
        <f>-0.00002515*EE37^3+0.0100767*EE37^2-1.45844836*EE37+82.96962576</f>
        <v>10.262415609999962</v>
      </c>
      <c r="EG37" s="15">
        <f>$G$37/(EF37*1000)</f>
        <v>7.1347109981787435E-3</v>
      </c>
      <c r="EH37" s="15">
        <f>EF37</f>
        <v>10.262415609999962</v>
      </c>
      <c r="EI37" s="15">
        <f>($I37/EH37)/1000</f>
        <v>9.7752097218154876E-4</v>
      </c>
      <c r="EJ37" s="24">
        <f>EG37-EI37+$J37</f>
        <v>5.6323856692663869E-2</v>
      </c>
      <c r="EK37" s="16">
        <f>EJ37/$D37</f>
        <v>5.6323856692663869E-2</v>
      </c>
      <c r="EL37" s="14">
        <f>EG37*$AA$10</f>
        <v>20.806532384689959</v>
      </c>
      <c r="EM37" s="14">
        <f>EI37*$M37*$AB$7*$D$11</f>
        <v>0.3967073678201512</v>
      </c>
      <c r="EN37" s="14">
        <f>EL37-EM37+$K37</f>
        <v>256.69482501686986</v>
      </c>
      <c r="EO37" s="44">
        <f>EN37/$D37</f>
        <v>256.69482501686986</v>
      </c>
      <c r="EP37" s="43">
        <f>101+15</f>
        <v>116</v>
      </c>
      <c r="EQ37" s="15">
        <f>-0.00002515*EP37^3+0.0100767*EP37^2-1.45844836*EP37+82.96962576</f>
        <v>10.125156799999999</v>
      </c>
      <c r="ER37" s="15">
        <f>$G$37/(EQ37*1000)</f>
        <v>7.2314306797251725E-3</v>
      </c>
      <c r="ES37" s="15">
        <f>EQ37</f>
        <v>10.125156799999999</v>
      </c>
      <c r="ET37" s="15">
        <f>($I37/ES37)/1000</f>
        <v>9.9077245737253807E-4</v>
      </c>
      <c r="EU37" s="24">
        <f>ER37-ET37+$J37</f>
        <v>5.6407324889019304E-2</v>
      </c>
      <c r="EV37" s="16">
        <f>EU37/$D37</f>
        <v>5.6407324889019304E-2</v>
      </c>
      <c r="EW37" s="14">
        <f>ER37*$AB$10</f>
        <v>21.419962812752757</v>
      </c>
      <c r="EX37" s="14">
        <f>ET37*$M37*$AC$7*$D$11</f>
        <v>0.41133954634902387</v>
      </c>
      <c r="EY37" s="14">
        <f>EW37-EX37+$K37</f>
        <v>257.29362326640376</v>
      </c>
      <c r="EZ37" s="44">
        <f>EY37/$D37</f>
        <v>257.29362326640376</v>
      </c>
      <c r="FA37" s="43">
        <f>103+15</f>
        <v>118</v>
      </c>
      <c r="FB37" s="15">
        <f>-0.00002515*FA37^3+0.0100767*FA37^2-1.45844836*FA37+82.96962576</f>
        <v>9.8584352799999948</v>
      </c>
      <c r="FC37" s="15">
        <f>$G$37/(FB37*1000)</f>
        <v>7.4270781762993919E-3</v>
      </c>
      <c r="FD37" s="15">
        <f>FB37</f>
        <v>9.8584352799999948</v>
      </c>
      <c r="FE37" s="15">
        <f>($I37/FD37)/1000</f>
        <v>1.0175779623334171E-3</v>
      </c>
      <c r="FF37" s="24">
        <f>FC37-FE37+$J37</f>
        <v>5.6576166880632647E-2</v>
      </c>
      <c r="FG37" s="16">
        <f>FF37/$D37</f>
        <v>5.6576166880632647E-2</v>
      </c>
      <c r="FH37" s="14">
        <f>FC37*$AC$10</f>
        <v>22.505819804182615</v>
      </c>
      <c r="FI37" s="14">
        <f>FE37*$M37*$AD$7*$D$11</f>
        <v>0.41784623979741337</v>
      </c>
      <c r="FJ37" s="14">
        <f>FH37-FI37+$K37</f>
        <v>258.37297356438523</v>
      </c>
      <c r="FK37" s="44">
        <f>FJ37/$D37</f>
        <v>258.37297356438523</v>
      </c>
      <c r="FL37" s="43">
        <f>113+15</f>
        <v>128</v>
      </c>
      <c r="FM37" s="15">
        <f>-0.00002515*FL37^3+0.0100767*FL37^2-1.45844836*FL37+82.96962576</f>
        <v>8.6415156799999835</v>
      </c>
      <c r="FN37" s="15">
        <f>$G$37/(FM37*1000)</f>
        <v>8.4729776849225228E-3</v>
      </c>
      <c r="FO37" s="15">
        <f>FM37</f>
        <v>8.6415156799999835</v>
      </c>
      <c r="FP37" s="15">
        <f>($I37/FO37)/1000</f>
        <v>1.1608758064555504E-3</v>
      </c>
      <c r="FQ37" s="24">
        <f>FN37-FP37+$J37</f>
        <v>5.7478768545133646E-2</v>
      </c>
      <c r="FR37" s="16">
        <f>FQ37/$D37</f>
        <v>5.7478768545133646E-2</v>
      </c>
      <c r="FS37" s="14">
        <f>FN37*$AD$10</f>
        <v>25.394237111699606</v>
      </c>
      <c r="FT37" s="14">
        <f>FP37*$M37*$AE$7*$D$11</f>
        <v>0.52601854502950052</v>
      </c>
      <c r="FU37" s="14">
        <f>FS37-FT37+$K37</f>
        <v>261.15321856667015</v>
      </c>
      <c r="FV37" s="44">
        <f>FU37/$D37</f>
        <v>261.15321856667015</v>
      </c>
      <c r="FW37" s="43">
        <f>85+15</f>
        <v>100</v>
      </c>
      <c r="FX37" s="15">
        <f>-0.00002515*FW37^3+0.0100767*FW37^2-1.45844836*FW37+82.96962576</f>
        <v>12.741789760000003</v>
      </c>
      <c r="FY37" s="15">
        <f>$G$37/(FX37*1000)</f>
        <v>5.7463959851545947E-3</v>
      </c>
      <c r="FZ37" s="15">
        <f>FX37</f>
        <v>12.741789760000003</v>
      </c>
      <c r="GA37" s="15">
        <f>($I37/FZ37)/1000</f>
        <v>7.8730905728099715E-4</v>
      </c>
      <c r="GB37" s="24">
        <f>FY37-GA37+$J37</f>
        <v>5.5125753594540271E-2</v>
      </c>
      <c r="GC37" s="16">
        <f>GB37/$D37</f>
        <v>5.5125753594540271E-2</v>
      </c>
      <c r="GD37" s="14">
        <f>FY37*$AE$10</f>
        <v>19.004705661076606</v>
      </c>
      <c r="GE37" s="14">
        <f>GA37*$M37*$AF$7*$D$11</f>
        <v>0.29815582340799313</v>
      </c>
      <c r="GF37" s="14">
        <f>GD37-GE37+$K37</f>
        <v>254.99154983766863</v>
      </c>
      <c r="GG37" s="44">
        <f>GF37/$D37</f>
        <v>254.99154983766863</v>
      </c>
    </row>
    <row r="38" spans="2:202" ht="13.8" x14ac:dyDescent="0.25">
      <c r="B38" s="31" t="s">
        <v>153</v>
      </c>
      <c r="C38" s="3" t="s">
        <v>156</v>
      </c>
      <c r="D38" s="3">
        <v>1</v>
      </c>
      <c r="E38" s="3">
        <v>0</v>
      </c>
      <c r="F38" s="3">
        <f>E38-10</f>
        <v>-10</v>
      </c>
      <c r="G38" s="11">
        <f>'Cooling Load'!$D$33</f>
        <v>73.219369520547943</v>
      </c>
      <c r="H38" s="14">
        <f>G38*1.15</f>
        <v>84.202274948630134</v>
      </c>
      <c r="I38" s="14">
        <f>'Cooling Load'!$I$33</f>
        <v>10.031726484018265</v>
      </c>
      <c r="J38" s="110">
        <f>'Cooling Load'!I20</f>
        <v>5.0166666666666672E-2</v>
      </c>
      <c r="K38" s="109">
        <f>'Cooling Load'!I26</f>
        <v>236.28500000000003</v>
      </c>
      <c r="L38" s="98">
        <f>I38/H38</f>
        <v>0.11913842577458138</v>
      </c>
      <c r="M38" s="97">
        <f>(1-(1-L38))*(1-$E$8)</f>
        <v>0.1072245831971232</v>
      </c>
      <c r="N38" s="43">
        <f>69+10</f>
        <v>79</v>
      </c>
      <c r="O38" s="15">
        <f>0.00000491*N38^3-0.00107023*N38^2-0.03013591*N38+15.74788397</f>
        <v>9.1086631400000009</v>
      </c>
      <c r="P38" s="15">
        <f>$G$38/(O38*1000)</f>
        <v>8.0384320284071827E-3</v>
      </c>
      <c r="Q38" s="15">
        <f>O38</f>
        <v>9.1086631400000009</v>
      </c>
      <c r="R38" s="15">
        <f>($I38/Q38)/1000</f>
        <v>1.1013390581944677E-3</v>
      </c>
      <c r="S38" s="24">
        <f>P38-R38+$J38</f>
        <v>5.7103759636879386E-2</v>
      </c>
      <c r="T38" s="16">
        <f>S38/$D38</f>
        <v>5.7103759636879386E-2</v>
      </c>
      <c r="U38" s="14">
        <f>P38*$Q$11</f>
        <v>22.003144588853221</v>
      </c>
      <c r="V38" s="14">
        <f>R38*$M38*$Q$7*$E$11</f>
        <v>0.4130324257188473</v>
      </c>
      <c r="W38" s="14">
        <f>U38-V38+$K38</f>
        <v>257.87511216313442</v>
      </c>
      <c r="X38" s="44">
        <f>W38/$D38</f>
        <v>257.87511216313442</v>
      </c>
      <c r="Y38" s="43">
        <f>96+10</f>
        <v>106</v>
      </c>
      <c r="Z38" s="15">
        <f>0.00000491*Y38^3-0.00107023*Y38^2-0.03013591*Y38+15.74788397</f>
        <v>6.3762617900000009</v>
      </c>
      <c r="AA38" s="15">
        <f>$G$38/(Z38*1000)</f>
        <v>1.1483118468469899E-2</v>
      </c>
      <c r="AB38" s="15">
        <f>Z38</f>
        <v>6.3762617900000009</v>
      </c>
      <c r="AC38" s="15">
        <f>($I38/AB38)/1000</f>
        <v>1.5732927559140044E-3</v>
      </c>
      <c r="AD38" s="24">
        <f>AA38-AC38+$J38</f>
        <v>6.0076492379222565E-2</v>
      </c>
      <c r="AE38" s="16">
        <f>AD38/$D38</f>
        <v>6.0076492379222565E-2</v>
      </c>
      <c r="AF38" s="14">
        <f>AA38*$R$11</f>
        <v>31.662087978010216</v>
      </c>
      <c r="AG38" s="14">
        <f>AC38*$M38*$R$7*$E$11</f>
        <v>0.59434545585389409</v>
      </c>
      <c r="AH38" s="14">
        <f>AF38-AG38+$K38</f>
        <v>267.35274252215635</v>
      </c>
      <c r="AI38" s="44">
        <f>AH38/$D38</f>
        <v>267.35274252215635</v>
      </c>
      <c r="AJ38" s="43">
        <f>89+10</f>
        <v>99</v>
      </c>
      <c r="AK38" s="15">
        <f>0.00000491*AJ38^3-0.00107023*AJ38^2-0.03013591*AJ38+15.74788397</f>
        <v>7.0392727400000012</v>
      </c>
      <c r="AL38" s="15">
        <f>$G$38/(AK38*1000)</f>
        <v>1.0401553146887718E-2</v>
      </c>
      <c r="AM38" s="15">
        <f>AK38</f>
        <v>7.0392727400000012</v>
      </c>
      <c r="AN38" s="15">
        <f>($I38/AM38)/1000</f>
        <v>1.4251083676604726E-3</v>
      </c>
      <c r="AO38" s="24">
        <f>AL38-AN38+$J38</f>
        <v>5.9143111445893917E-2</v>
      </c>
      <c r="AP38" s="16">
        <f>AO38/$D38</f>
        <v>5.9143111445893917E-2</v>
      </c>
      <c r="AQ38" s="14">
        <f>AL38*$Q$11</f>
        <v>28.47158214821177</v>
      </c>
      <c r="AR38" s="14">
        <f>AN38*$M38*$S$7*$E$11</f>
        <v>0.54731949570593097</v>
      </c>
      <c r="AS38" s="14">
        <f>AQ38-AR38+$K38</f>
        <v>264.20926265250586</v>
      </c>
      <c r="AT38" s="44">
        <f>AS38/$D38</f>
        <v>264.20926265250586</v>
      </c>
      <c r="AU38" s="43">
        <f>88+10</f>
        <v>98</v>
      </c>
      <c r="AV38" s="15">
        <f>0.00000491*AU38^3-0.00107023*AU38^2-0.03013591*AU38+15.74788397</f>
        <v>7.137328590000001</v>
      </c>
      <c r="AW38" s="178">
        <f>$G$38/(AV38*1000)</f>
        <v>1.0258651902776965E-2</v>
      </c>
      <c r="AX38" s="15">
        <f>AV38</f>
        <v>7.137328590000001</v>
      </c>
      <c r="AY38" s="15">
        <f>($I38/AX38)/1000</f>
        <v>1.4055295840062008E-3</v>
      </c>
      <c r="AZ38" s="24">
        <f>AW38-AY38+$J38</f>
        <v>5.9019788985437437E-2</v>
      </c>
      <c r="BA38" s="16">
        <f>AZ38/$D38</f>
        <v>5.9019788985437437E-2</v>
      </c>
      <c r="BB38" s="14">
        <f>AW38*$S$11</f>
        <v>28.756340934918455</v>
      </c>
      <c r="BC38" s="14">
        <f>AY38*$M38*$T$7*$E$11</f>
        <v>0.55275311438301744</v>
      </c>
      <c r="BD38" s="14">
        <f>BB38-BC38+$K38</f>
        <v>264.48858782053549</v>
      </c>
      <c r="BE38" s="44">
        <f>BD38/$D38</f>
        <v>264.48858782053549</v>
      </c>
      <c r="BF38" s="43">
        <f>83+10</f>
        <v>93</v>
      </c>
      <c r="BG38" s="15">
        <f>0.00000491*BF38^3-0.00107023*BF38^2-0.03013591*BF38+15.74788397</f>
        <v>7.6382179400000023</v>
      </c>
      <c r="BH38" s="15">
        <f>$G$38/(BG38*1000)</f>
        <v>9.5859230642151485E-3</v>
      </c>
      <c r="BI38" s="15">
        <f>BG38</f>
        <v>7.6382179400000023</v>
      </c>
      <c r="BJ38" s="15">
        <f>($I38/BI38)/1000</f>
        <v>1.3133595509868708E-3</v>
      </c>
      <c r="BK38" s="24">
        <f>BH38-BJ38+$J38</f>
        <v>5.8439230179894948E-2</v>
      </c>
      <c r="BL38" s="16">
        <f>BK38/$D38</f>
        <v>5.8439230179894948E-2</v>
      </c>
      <c r="BM38" s="14">
        <f>BH38*$T$11</f>
        <v>27.515375782532615</v>
      </c>
      <c r="BN38" s="14">
        <f>BJ38*$M38*$U$7*$E$11</f>
        <v>0.50583974195564418</v>
      </c>
      <c r="BO38" s="14">
        <f>BM38-BN38+$K38</f>
        <v>263.29453604057699</v>
      </c>
      <c r="BP38" s="44">
        <f>BO38/$D38</f>
        <v>263.29453604057699</v>
      </c>
      <c r="BQ38" s="43">
        <f>86+10</f>
        <v>96</v>
      </c>
      <c r="BR38" s="15">
        <f>0.00000491*BQ38^3-0.00107023*BQ38^2-0.03013591*BQ38+15.74788397</f>
        <v>7.3356506900000014</v>
      </c>
      <c r="BS38" s="16">
        <f>$G$38/(BR38*1000)</f>
        <v>9.9813053558235783E-3</v>
      </c>
      <c r="BT38" s="15">
        <f>BR38</f>
        <v>7.3356506900000014</v>
      </c>
      <c r="BU38" s="15">
        <f>($I38/BT38)/1000</f>
        <v>1.3675305583584518E-3</v>
      </c>
      <c r="BV38" s="24">
        <f>BS38-BU38+$J38</f>
        <v>5.8780441464131798E-2</v>
      </c>
      <c r="BW38" s="16">
        <f>BV38/$D38</f>
        <v>5.8780441464131798E-2</v>
      </c>
      <c r="BX38" s="14">
        <f>BS38*$U$11</f>
        <v>28.058661837073988</v>
      </c>
      <c r="BY38" s="14">
        <f>BU38*$M38*$V$7*$E$11</f>
        <v>0.54491174757193128</v>
      </c>
      <c r="BZ38" s="14">
        <f>BX38-BY38+$K38</f>
        <v>263.79875008950211</v>
      </c>
      <c r="CA38" s="44">
        <f>BZ38/$D38</f>
        <v>263.79875008950211</v>
      </c>
      <c r="CB38" s="43">
        <f>83+10</f>
        <v>93</v>
      </c>
      <c r="CC38" s="15">
        <f>0.00000491*CB38^3-0.00107023*CB38^2-0.03013591*CB38+15.74788397</f>
        <v>7.6382179400000023</v>
      </c>
      <c r="CD38" s="15">
        <f>$G$38/(CC38*1000)</f>
        <v>9.5859230642151485E-3</v>
      </c>
      <c r="CE38" s="15">
        <f>CC38</f>
        <v>7.6382179400000023</v>
      </c>
      <c r="CF38" s="15">
        <f>($I38/CE38)/1000</f>
        <v>1.3133595509868708E-3</v>
      </c>
      <c r="CG38" s="24">
        <f>CD38-CF38+$J38</f>
        <v>5.8439230179894948E-2</v>
      </c>
      <c r="CH38" s="16">
        <f>CG38/$D38</f>
        <v>5.8439230179894948E-2</v>
      </c>
      <c r="CI38" s="14">
        <f>CD38*$V$11</f>
        <v>27.878754823175701</v>
      </c>
      <c r="CJ38" s="14">
        <f>CF38*$M38*$W$7*$E$11</f>
        <v>0.5288097095252533</v>
      </c>
      <c r="CK38" s="14">
        <f>CI38-CJ38+$K38</f>
        <v>263.63494511365047</v>
      </c>
      <c r="CL38" s="44">
        <f>CK38/$D38</f>
        <v>263.63494511365047</v>
      </c>
      <c r="CM38" s="43">
        <f>94+10</f>
        <v>104</v>
      </c>
      <c r="CN38" s="15">
        <f>0.00000491*CM38^3-0.00107023*CM38^2-0.03013591*CM38+15.74788397</f>
        <v>6.5612238900000026</v>
      </c>
      <c r="CO38" s="15">
        <f>$G$38/(CN38*1000)</f>
        <v>1.1159407261218746E-2</v>
      </c>
      <c r="CP38" s="15">
        <f>CN38</f>
        <v>6.5612238900000026</v>
      </c>
      <c r="CQ38" s="15">
        <f>($I38/CP38)/1000</f>
        <v>1.5289413457308893E-3</v>
      </c>
      <c r="CR38" s="24">
        <f>CO38-CQ38+$J38</f>
        <v>5.9797132582154529E-2</v>
      </c>
      <c r="CS38" s="16">
        <f>CR38/$D38</f>
        <v>5.9797132582154529E-2</v>
      </c>
      <c r="CT38" s="14">
        <f>CO38*$W$11</f>
        <v>32.794968170258905</v>
      </c>
      <c r="CU38" s="14">
        <f>CQ38*$M38*$X$7*$E$11</f>
        <v>0.61291271083316634</v>
      </c>
      <c r="CV38" s="14">
        <f>CT38-CU38+$K38</f>
        <v>268.46705545942575</v>
      </c>
      <c r="CW38" s="44">
        <f>CV38/$D38</f>
        <v>268.46705545942575</v>
      </c>
      <c r="CX38" s="43">
        <f>96+10</f>
        <v>106</v>
      </c>
      <c r="CY38" s="15">
        <f>0.00000491*CX38^3-0.00107023*CX38^2-0.03013591*CX38+15.74788397</f>
        <v>6.3762617900000009</v>
      </c>
      <c r="CZ38" s="15">
        <f>$G$38/(CY38*1000)</f>
        <v>1.1483118468469899E-2</v>
      </c>
      <c r="DA38" s="15">
        <f>CY38</f>
        <v>6.3762617900000009</v>
      </c>
      <c r="DB38" s="15">
        <f>($I38/DA38)/1000</f>
        <v>1.5732927559140044E-3</v>
      </c>
      <c r="DC38" s="24">
        <f>CZ38-DB38+$J38</f>
        <v>6.0076492379222565E-2</v>
      </c>
      <c r="DD38" s="16">
        <f>DC38/$D38</f>
        <v>6.0076492379222565E-2</v>
      </c>
      <c r="DE38" s="14">
        <f>CZ38*$X$11</f>
        <v>33.598350061411146</v>
      </c>
      <c r="DF38" s="14">
        <f>DB38*$M38*$Y$7*$E$11</f>
        <v>0.62435051497839267</v>
      </c>
      <c r="DG38" s="14">
        <f>DE38-DF38+$K38</f>
        <v>269.25899954643279</v>
      </c>
      <c r="DH38" s="44">
        <f>DG38/$D38</f>
        <v>269.25899954643279</v>
      </c>
      <c r="DI38" s="43">
        <f>100+10</f>
        <v>110</v>
      </c>
      <c r="DJ38" s="15">
        <f>0.00000491*DI38^3-0.00107023*DI38^2-0.03013591*DI38+15.74788397</f>
        <v>6.0183608700000022</v>
      </c>
      <c r="DK38" s="15">
        <f>$G$38/(DJ38*1000)</f>
        <v>1.216599853384131E-2</v>
      </c>
      <c r="DL38" s="15">
        <f>DJ38</f>
        <v>6.0183608700000022</v>
      </c>
      <c r="DM38" s="15">
        <f>($I38/DL38)/1000</f>
        <v>1.6668536002923768E-3</v>
      </c>
      <c r="DN38" s="24">
        <f>DK38-DM38+$J38</f>
        <v>6.0665811600215606E-2</v>
      </c>
      <c r="DO38" s="16">
        <f>DN38/$D38</f>
        <v>6.0665811600215606E-2</v>
      </c>
      <c r="DP38" s="14">
        <f>DK38*$Y$11</f>
        <v>35.23846591599856</v>
      </c>
      <c r="DQ38" s="14">
        <f>DM38*$M38*$Z$7*$E$11</f>
        <v>0.65438716293236632</v>
      </c>
      <c r="DR38" s="14">
        <f>DP38-DQ38+$K38</f>
        <v>270.86907875306622</v>
      </c>
      <c r="DS38" s="44">
        <f>DR38/$D38</f>
        <v>270.86907875306622</v>
      </c>
      <c r="DT38" s="43">
        <f>104+10</f>
        <v>114</v>
      </c>
      <c r="DU38" s="15">
        <f>0.00000491*DT38^3-0.00107023*DT38^2-0.03013591*DT38+15.74788397</f>
        <v>5.6780621900000021</v>
      </c>
      <c r="DV38" s="15">
        <f>$G$38/(DU38*1000)</f>
        <v>1.2895133422367097E-2</v>
      </c>
      <c r="DW38" s="15">
        <f>DU38</f>
        <v>5.6780621900000021</v>
      </c>
      <c r="DX38" s="15">
        <f>($I38/DW38)/1000</f>
        <v>1.7667517805081069E-3</v>
      </c>
      <c r="DY38" s="24">
        <f>DV38-DX38+$J38</f>
        <v>6.1295048308525661E-2</v>
      </c>
      <c r="DZ38" s="16">
        <f>DY38/$D38</f>
        <v>6.1295048308525661E-2</v>
      </c>
      <c r="EA38" s="14">
        <f>DV38*$Z$11</f>
        <v>36.949916063184382</v>
      </c>
      <c r="EB38" s="14">
        <f>DX38*$M38*$AA$7*$E$11</f>
        <v>0.66875564374095153</v>
      </c>
      <c r="EC38" s="14">
        <f>EA38-EB38+$K38</f>
        <v>272.56616041944346</v>
      </c>
      <c r="ED38" s="44">
        <f>EC38/$D38</f>
        <v>272.56616041944346</v>
      </c>
      <c r="EE38" s="43">
        <f>100+10</f>
        <v>110</v>
      </c>
      <c r="EF38" s="15">
        <f>0.00000491*EE38^3-0.00107023*EE38^2-0.03013591*EE38+15.74788397</f>
        <v>6.0183608700000022</v>
      </c>
      <c r="EG38" s="15">
        <f>$G$38/(EF38*1000)</f>
        <v>1.216599853384131E-2</v>
      </c>
      <c r="EH38" s="15">
        <f>EF38</f>
        <v>6.0183608700000022</v>
      </c>
      <c r="EI38" s="15">
        <f>($I38/EH38)/1000</f>
        <v>1.6668536002923768E-3</v>
      </c>
      <c r="EJ38" s="24">
        <f>EG38-EI38+$J38</f>
        <v>6.0665811600215606E-2</v>
      </c>
      <c r="EK38" s="16">
        <f>EJ38/$D38</f>
        <v>6.0665811600215606E-2</v>
      </c>
      <c r="EL38" s="14">
        <f>EG38*$AA$11</f>
        <v>33.611661767817196</v>
      </c>
      <c r="EM38" s="14">
        <f>EI38*$M38*$AB$7*$E$11</f>
        <v>0.64085613217238935</v>
      </c>
      <c r="EN38" s="14">
        <f>EL38-EM38+$K38</f>
        <v>269.25580563564483</v>
      </c>
      <c r="EO38" s="44">
        <f>EN38/$D38</f>
        <v>269.25580563564483</v>
      </c>
      <c r="EP38" s="43">
        <f>101+10</f>
        <v>111</v>
      </c>
      <c r="EQ38" s="15">
        <f>0.00000491*EP38^3-0.00107023*EP38^2-0.03013591*EP38+15.74788397</f>
        <v>5.9315623400000028</v>
      </c>
      <c r="ER38" s="15">
        <f>$G$38/(EQ38*1000)</f>
        <v>1.2344027647958245E-2</v>
      </c>
      <c r="ES38" s="15">
        <f>EQ38</f>
        <v>5.9315623400000028</v>
      </c>
      <c r="ET38" s="15">
        <f>($I38/ES38)/1000</f>
        <v>1.6912452249500018E-3</v>
      </c>
      <c r="EU38" s="24">
        <f>ER38-ET38+$J38</f>
        <v>6.0819449089674918E-2</v>
      </c>
      <c r="EV38" s="16">
        <f>EU38/$D38</f>
        <v>6.0819449089674918E-2</v>
      </c>
      <c r="EW38" s="14">
        <f>ER38*$AB$11</f>
        <v>34.639393153871765</v>
      </c>
      <c r="EX38" s="14">
        <f>ET38*$M38*$AC$7*$E$11</f>
        <v>0.66519967332697527</v>
      </c>
      <c r="EY38" s="14">
        <f>EW38-EX38+$K38</f>
        <v>270.25919348054481</v>
      </c>
      <c r="EZ38" s="44">
        <f>EY38/$D38</f>
        <v>270.25919348054481</v>
      </c>
      <c r="FA38" s="43">
        <f>103+10</f>
        <v>113</v>
      </c>
      <c r="FB38" s="15">
        <f>0.00000491*FA38^3-0.00107023*FA38^2-0.03013591*FA38+15.74788397</f>
        <v>5.7613835400000024</v>
      </c>
      <c r="FC38" s="15">
        <f>$G$38/(FB38*1000)</f>
        <v>1.2708643507623156E-2</v>
      </c>
      <c r="FD38" s="15">
        <f>FB38</f>
        <v>5.7613835400000024</v>
      </c>
      <c r="FE38" s="15">
        <f>($I38/FD38)/1000</f>
        <v>1.7412009484128635E-3</v>
      </c>
      <c r="FF38" s="24">
        <f>FC38-FE38+$J38</f>
        <v>6.1134109225876962E-2</v>
      </c>
      <c r="FG38" s="16">
        <f>FF38/$D38</f>
        <v>6.1134109225876962E-2</v>
      </c>
      <c r="FH38" s="14">
        <f>FC38*$AC$11</f>
        <v>36.483369659245859</v>
      </c>
      <c r="FI38" s="14">
        <f>FE38*$M38*$AD$7*$E$11</f>
        <v>0.67735541117332676</v>
      </c>
      <c r="FJ38" s="14">
        <f>FH38-FI38+$K38</f>
        <v>272.09101424807255</v>
      </c>
      <c r="FK38" s="44">
        <f>FJ38/$D38</f>
        <v>272.09101424807255</v>
      </c>
      <c r="FL38" s="43">
        <f>113+10</f>
        <v>123</v>
      </c>
      <c r="FM38" s="15">
        <f>0.00000491*FL38^3-0.00107023*FL38^2-0.03013591*FL38+15.74788397</f>
        <v>4.9865143400000029</v>
      </c>
      <c r="FN38" s="15">
        <f>$G$38/(FM38*1000)</f>
        <v>1.4683477180283792E-2</v>
      </c>
      <c r="FO38" s="15">
        <f>FM38</f>
        <v>4.9865143400000029</v>
      </c>
      <c r="FP38" s="15">
        <f>($I38/FO38)/1000</f>
        <v>2.0117713095794002E-3</v>
      </c>
      <c r="FQ38" s="24">
        <f>FN38-FP38+$J38</f>
        <v>6.2838372537371068E-2</v>
      </c>
      <c r="FR38" s="16">
        <f>FQ38/$D38</f>
        <v>6.2838372537371068E-2</v>
      </c>
      <c r="FS38" s="14">
        <f>FN38*$AD$11</f>
        <v>41.691442769504135</v>
      </c>
      <c r="FT38" s="14">
        <f>FP38*$M38*$AE$7*$E$11</f>
        <v>0.86360035032087912</v>
      </c>
      <c r="FU38" s="14">
        <f>FS38-FT38+$K38</f>
        <v>277.11284241918327</v>
      </c>
      <c r="FV38" s="44">
        <f>FU38/$D38</f>
        <v>277.11284241918327</v>
      </c>
      <c r="FW38" s="43">
        <f>85+10</f>
        <v>95</v>
      </c>
      <c r="FX38" s="15">
        <f>0.00000491*FW38^3-0.00107023*FW38^2-0.03013591*FW38+15.74788397</f>
        <v>7.4358580200000013</v>
      </c>
      <c r="FY38" s="15">
        <f>$G$38/(FX38*1000)</f>
        <v>9.8467949930743735E-3</v>
      </c>
      <c r="FZ38" s="15">
        <f>FX38</f>
        <v>7.4358580200000013</v>
      </c>
      <c r="GA38" s="15">
        <f>($I38/FZ38)/1000</f>
        <v>1.3491014025598974E-3</v>
      </c>
      <c r="GB38" s="24">
        <f>FY38-GA38+$J38</f>
        <v>5.866436025718115E-2</v>
      </c>
      <c r="GC38" s="16">
        <f>GB38/$D38</f>
        <v>5.866436025718115E-2</v>
      </c>
      <c r="GD38" s="14">
        <f>FY38*$AE$11</f>
        <v>30.851721199387772</v>
      </c>
      <c r="GE38" s="14">
        <f>GA38*$M38*$AF$7*$E$11</f>
        <v>0.48401803752198691</v>
      </c>
      <c r="GF38" s="14">
        <f>GD38-GE38+$K38</f>
        <v>266.65270316186582</v>
      </c>
      <c r="GG38" s="44">
        <f>GF38/$D38</f>
        <v>266.65270316186582</v>
      </c>
    </row>
    <row r="39" spans="2:202" ht="13.8" x14ac:dyDescent="0.25">
      <c r="B39" s="167" t="s">
        <v>154</v>
      </c>
      <c r="C39" s="3" t="s">
        <v>156</v>
      </c>
      <c r="D39" s="3">
        <v>1</v>
      </c>
      <c r="E39" s="3">
        <v>38</v>
      </c>
      <c r="F39" s="3">
        <f>E39-10</f>
        <v>28</v>
      </c>
      <c r="G39" s="11">
        <f>'Cooling Load'!$F$33</f>
        <v>29.675498504452051</v>
      </c>
      <c r="H39" s="14">
        <f>G39*1.15</f>
        <v>34.126823280119858</v>
      </c>
      <c r="I39" s="14">
        <f>'Cooling Load'!$I$33</f>
        <v>10.031726484018265</v>
      </c>
      <c r="J39" s="110">
        <f>'Cooling Load'!I21</f>
        <v>1.6166666666666666E-2</v>
      </c>
      <c r="K39" s="109">
        <f>'Cooling Load'!I27</f>
        <v>76.14500000000001</v>
      </c>
      <c r="L39" s="98">
        <f>I39/H39</f>
        <v>0.29395430103985443</v>
      </c>
      <c r="M39" s="97">
        <f>(1-(1-L39))*(1-$D$8)</f>
        <v>0.27925658598786168</v>
      </c>
      <c r="N39" s="43">
        <f>69+15</f>
        <v>84</v>
      </c>
      <c r="O39" s="15">
        <f>-0.00002515*N39^3+0.0100767*N39^2-1.45844836*N39+82.96962576</f>
        <v>16.654653119999992</v>
      </c>
      <c r="P39" s="15">
        <f>$G$39/(O39*1000)</f>
        <v>1.7818142647964118E-3</v>
      </c>
      <c r="Q39" s="15">
        <f>O39</f>
        <v>16.654653119999992</v>
      </c>
      <c r="R39" s="15">
        <f>($I39/Q39)/1000</f>
        <v>6.0233776180973193E-4</v>
      </c>
      <c r="S39" s="24">
        <f>P39-R39+$J39</f>
        <v>1.7346143169653345E-2</v>
      </c>
      <c r="T39" s="16">
        <f>S39/$D39</f>
        <v>1.7346143169653345E-2</v>
      </c>
      <c r="U39" s="14">
        <f>P39*$Q$10</f>
        <v>5.1482180883915722</v>
      </c>
      <c r="V39" s="14">
        <f>R39*$M39*$Q$7*$D$11</f>
        <v>0.58831816091337485</v>
      </c>
      <c r="W39" s="14">
        <f>U39-V39+$K39</f>
        <v>80.704899927478209</v>
      </c>
      <c r="X39" s="44">
        <f>W39/$D39</f>
        <v>80.704899927478209</v>
      </c>
      <c r="Y39" s="43">
        <f>96+15</f>
        <v>111</v>
      </c>
      <c r="Z39" s="15">
        <f>-0.00002515*Y39^3+0.0100767*Y39^2-1.45844836*Y39+82.96962576</f>
        <v>10.840958850000007</v>
      </c>
      <c r="AA39" s="15">
        <f>$G$39/(Z39*1000)</f>
        <v>2.7373499812197916E-3</v>
      </c>
      <c r="AB39" s="15">
        <f>Z39</f>
        <v>10.840958850000007</v>
      </c>
      <c r="AC39" s="15">
        <f>($I39/AB39)/1000</f>
        <v>9.2535417049556079E-4</v>
      </c>
      <c r="AD39" s="24">
        <f>AA39-AC39+$J39</f>
        <v>1.7978662477390897E-2</v>
      </c>
      <c r="AE39" s="16">
        <f>AD39/$D39</f>
        <v>1.7978662477390897E-2</v>
      </c>
      <c r="AF39" s="14">
        <f>AA39*$R$10</f>
        <v>7.9669323432833368</v>
      </c>
      <c r="AG39" s="14">
        <f>AC39*$M39*$R$7*$D$11</f>
        <v>0.91042976498808315</v>
      </c>
      <c r="AH39" s="14">
        <f>AF39-AG39+$K39</f>
        <v>83.201502578295262</v>
      </c>
      <c r="AI39" s="44">
        <f>AH39/$D39</f>
        <v>83.201502578295262</v>
      </c>
      <c r="AJ39" s="43">
        <f>89+15</f>
        <v>104</v>
      </c>
      <c r="AK39" s="15">
        <f>-0.00002515*AJ39^3+0.0100767*AJ39^2-1.45844836*AJ39+82.96962576</f>
        <v>11.990253919999972</v>
      </c>
      <c r="AL39" s="15">
        <f>$G$39/(AK39*1000)</f>
        <v>2.4749683119681689E-3</v>
      </c>
      <c r="AM39" s="15">
        <f>AK39</f>
        <v>11.990253919999972</v>
      </c>
      <c r="AN39" s="15">
        <f>($I39/AM39)/1000</f>
        <v>8.3665671727645012E-4</v>
      </c>
      <c r="AO39" s="24">
        <f>AL39-AN39+$J39</f>
        <v>1.7804978261358385E-2</v>
      </c>
      <c r="AP39" s="16">
        <f>AO39/$D39</f>
        <v>1.7804978261358385E-2</v>
      </c>
      <c r="AQ39" s="14">
        <f>AL39*$Q$10</f>
        <v>7.150956687018291</v>
      </c>
      <c r="AR39" s="14">
        <f>AN39*$M39*$S$7*$D$11</f>
        <v>0.83685340562722166</v>
      </c>
      <c r="AS39" s="14">
        <f>AQ39-AR39+$K39</f>
        <v>82.45910328139108</v>
      </c>
      <c r="AT39" s="44">
        <f>AS39/$D39</f>
        <v>82.45910328139108</v>
      </c>
      <c r="AU39" s="43">
        <f>88+15</f>
        <v>103</v>
      </c>
      <c r="AV39" s="15">
        <f>-0.00002515*AU39^3+0.0100767*AU39^2-1.45844836*AU39+82.96962576</f>
        <v>12.171070929999985</v>
      </c>
      <c r="AW39" s="178">
        <f>$G$39/(AV39*1000)</f>
        <v>2.4381994546844765E-3</v>
      </c>
      <c r="AX39" s="15">
        <f>AV39</f>
        <v>12.171070929999985</v>
      </c>
      <c r="AY39" s="15">
        <f>($I39/AX39)/1000</f>
        <v>8.2422709897215899E-4</v>
      </c>
      <c r="AZ39" s="24">
        <f>AW39-AY39+$J39</f>
        <v>1.7780639022378985E-2</v>
      </c>
      <c r="BA39" s="16">
        <f>AZ39/$D39</f>
        <v>1.7780639022378985E-2</v>
      </c>
      <c r="BB39" s="14">
        <f>AW39*$S$10</f>
        <v>7.2142909958868371</v>
      </c>
      <c r="BC39" s="14">
        <f>AY39*$M39*$T$7*$D$11</f>
        <v>0.84420351048595355</v>
      </c>
      <c r="BD39" s="14">
        <f>BB39-BC39+$K39</f>
        <v>82.515087485400898</v>
      </c>
      <c r="BE39" s="44">
        <f>BD39/$D39</f>
        <v>82.515087485400898</v>
      </c>
      <c r="BF39" s="43">
        <f>83+15</f>
        <v>98</v>
      </c>
      <c r="BG39" s="15">
        <f>-0.00002515*BF39^3+0.0100767*BF39^2-1.45844836*BF39+82.96962576</f>
        <v>13.147334479999984</v>
      </c>
      <c r="BH39" s="15">
        <f>$G$39/(BG39*1000)</f>
        <v>2.2571494282430465E-3</v>
      </c>
      <c r="BI39" s="15">
        <f>BG39</f>
        <v>13.147334479999984</v>
      </c>
      <c r="BJ39" s="15">
        <f>($I39/BI39)/1000</f>
        <v>7.6302359989994541E-4</v>
      </c>
      <c r="BK39" s="24">
        <f>BH39-BJ39+$J39</f>
        <v>1.7660792495009767E-2</v>
      </c>
      <c r="BL39" s="16">
        <f>BK39/$D39</f>
        <v>1.7660792495009767E-2</v>
      </c>
      <c r="BM39" s="14">
        <f>BH39*$T$10</f>
        <v>6.8388474530624412</v>
      </c>
      <c r="BN39" s="14">
        <f>BJ39*$M39*$U$7*$D$11</f>
        <v>0.76537864161932578</v>
      </c>
      <c r="BO39" s="14">
        <f>BM39-BN39+$K39</f>
        <v>82.218468811443131</v>
      </c>
      <c r="BP39" s="44">
        <f>BO39/$D39</f>
        <v>82.218468811443131</v>
      </c>
      <c r="BQ39" s="43">
        <f>86+15</f>
        <v>101</v>
      </c>
      <c r="BR39" s="15">
        <f>-0.00002515*BQ39^3+0.0100767*BQ39^2-1.45844836*BQ39+82.96962576</f>
        <v>12.546687949999992</v>
      </c>
      <c r="BS39" s="15">
        <f>$G$39/(BR39*1000)</f>
        <v>2.3652057517260616E-3</v>
      </c>
      <c r="BT39" s="15">
        <f>BR39</f>
        <v>12.546687949999992</v>
      </c>
      <c r="BU39" s="15">
        <f>($I39/BT39)/1000</f>
        <v>7.995517640986895E-4</v>
      </c>
      <c r="BV39" s="24">
        <f>BS39-BU39+$J39</f>
        <v>1.7732320654294038E-2</v>
      </c>
      <c r="BW39" s="16">
        <f>BV39/$D39</f>
        <v>1.7732320654294038E-2</v>
      </c>
      <c r="BX39" s="14">
        <f>BS39*$U$10</f>
        <v>7.0182629422491614</v>
      </c>
      <c r="BY39" s="14">
        <f>BU39*$M39*$V$7*$D$11</f>
        <v>0.82974524926040738</v>
      </c>
      <c r="BZ39" s="14">
        <f>BX39-BY39+$K39</f>
        <v>82.333517692988764</v>
      </c>
      <c r="CA39" s="44">
        <f>BZ39/$D39</f>
        <v>82.333517692988764</v>
      </c>
      <c r="CB39" s="43">
        <f>83+15</f>
        <v>98</v>
      </c>
      <c r="CC39" s="15">
        <f>-0.00002515*CB39^3+0.0100767*CB39^2-1.45844836*CB39+82.96962576</f>
        <v>13.147334479999984</v>
      </c>
      <c r="CD39" s="15">
        <f>$G$39/(CC39*1000)</f>
        <v>2.2571494282430465E-3</v>
      </c>
      <c r="CE39" s="15">
        <f>CC39</f>
        <v>13.147334479999984</v>
      </c>
      <c r="CF39" s="15">
        <f>($I39/CE39)/1000</f>
        <v>7.6302359989994541E-4</v>
      </c>
      <c r="CG39" s="24">
        <f>CD39-CF39+$J39</f>
        <v>1.7660792495009767E-2</v>
      </c>
      <c r="CH39" s="16">
        <f>CG39/$D39</f>
        <v>1.7660792495009767E-2</v>
      </c>
      <c r="CI39" s="14">
        <f>CD39*$V$10</f>
        <v>6.9291640035700244</v>
      </c>
      <c r="CJ39" s="14">
        <f>CF39*$M39*$W$7*$D$11</f>
        <v>0.80013416025156692</v>
      </c>
      <c r="CK39" s="14">
        <f>CI39-CJ39+$K39</f>
        <v>82.274029843318473</v>
      </c>
      <c r="CL39" s="44">
        <f>CK39/$D39</f>
        <v>82.274029843318473</v>
      </c>
      <c r="CM39" s="43">
        <f>94+15</f>
        <v>109</v>
      </c>
      <c r="CN39" s="15">
        <f>-0.00002515*CM39^3+0.0100767*CM39^2-1.45844836*CM39+82.96962576</f>
        <v>11.150047869999966</v>
      </c>
      <c r="CO39" s="15">
        <f>$G$39/(CN39*1000)</f>
        <v>2.6614682600866846E-3</v>
      </c>
      <c r="CP39" s="15">
        <f>CN39</f>
        <v>11.150047869999966</v>
      </c>
      <c r="CQ39" s="15">
        <f>($I39/CP39)/1000</f>
        <v>8.9970254845356961E-4</v>
      </c>
      <c r="CR39" s="24">
        <f>CO39-CQ39+$J39</f>
        <v>1.7928432378299781E-2</v>
      </c>
      <c r="CS39" s="16">
        <f>CR39/$D39</f>
        <v>1.7928432378299781E-2</v>
      </c>
      <c r="CT39" s="14">
        <f>CO39*$W$10</f>
        <v>8.2559769818671018</v>
      </c>
      <c r="CU39" s="14">
        <f>CQ39*$M39*$X$7*$D$11</f>
        <v>0.93932484867272759</v>
      </c>
      <c r="CV39" s="14">
        <f>CT39-CU39+$K39</f>
        <v>83.461652133194377</v>
      </c>
      <c r="CW39" s="44">
        <f>CV39/$D39</f>
        <v>83.461652133194377</v>
      </c>
      <c r="CX39" s="43">
        <f>96+15</f>
        <v>111</v>
      </c>
      <c r="CY39" s="15">
        <f>-0.00002515*CX39^3+0.0100767*CX39^2-1.45844836*CX39+82.96962576</f>
        <v>10.840958850000007</v>
      </c>
      <c r="CZ39" s="15">
        <f>$G$39/(CY39*1000)</f>
        <v>2.7373499812197916E-3</v>
      </c>
      <c r="DA39" s="15">
        <f>CY39</f>
        <v>10.840958850000007</v>
      </c>
      <c r="DB39" s="15">
        <f>($I39/DA39)/1000</f>
        <v>9.2535417049556079E-4</v>
      </c>
      <c r="DC39" s="24">
        <f>CZ39-DB39+$J39</f>
        <v>1.7978662477390897E-2</v>
      </c>
      <c r="DD39" s="16">
        <f>DC39/$D39</f>
        <v>1.7978662477390897E-2</v>
      </c>
      <c r="DE39" s="14">
        <f>CZ39*$X$10</f>
        <v>8.4541418105816941</v>
      </c>
      <c r="DF39" s="14">
        <f>DB39*$M39*$Y$7*$D$11</f>
        <v>0.95639208985842949</v>
      </c>
      <c r="DG39" s="14">
        <f>DE39-DF39+$K39</f>
        <v>83.642749720723273</v>
      </c>
      <c r="DH39" s="44">
        <f>DG39/$D39</f>
        <v>83.642749720723273</v>
      </c>
      <c r="DI39" s="43">
        <f>100+15</f>
        <v>115</v>
      </c>
      <c r="DJ39" s="15">
        <f>-0.00002515*DI39^3+0.0100767*DI39^2-1.45844836*DI39+82.96962576</f>
        <v>10.262415609999962</v>
      </c>
      <c r="DK39" s="15">
        <f>$G$39/(DJ39*1000)</f>
        <v>2.8916679690438071E-3</v>
      </c>
      <c r="DL39" s="15">
        <f>DJ39</f>
        <v>10.262415609999962</v>
      </c>
      <c r="DM39" s="15">
        <f>($I39/DL39)/1000</f>
        <v>9.7752097218154876E-4</v>
      </c>
      <c r="DN39" s="24">
        <f>DK39-DM39+$J39</f>
        <v>1.8080813663528924E-2</v>
      </c>
      <c r="DO39" s="16">
        <f>DN39/$D39</f>
        <v>1.8080813663528924E-2</v>
      </c>
      <c r="DP39" s="14">
        <f>DK39*$Y$10</f>
        <v>8.8409463235579544</v>
      </c>
      <c r="DQ39" s="14">
        <f>DM39*$M39*$Z$7*$D$11</f>
        <v>0.99947619572792723</v>
      </c>
      <c r="DR39" s="14">
        <f>DP39-DQ39+$K39</f>
        <v>83.986470127830032</v>
      </c>
      <c r="DS39" s="44">
        <f>DR39/$D39</f>
        <v>83.986470127830032</v>
      </c>
      <c r="DT39" s="43">
        <f>104+15</f>
        <v>119</v>
      </c>
      <c r="DU39" s="15">
        <f>-0.00002515*DT39^3+0.0100767*DT39^2-1.45844836*DT39+82.96962576</f>
        <v>9.7286707699999653</v>
      </c>
      <c r="DV39" s="15">
        <f>$G$39/(DU39*1000)</f>
        <v>3.050313779346051E-3</v>
      </c>
      <c r="DW39" s="15">
        <f>DU39</f>
        <v>9.7286707699999653</v>
      </c>
      <c r="DX39" s="15">
        <f>($I39/DW39)/1000</f>
        <v>1.0311507832038908E-3</v>
      </c>
      <c r="DY39" s="24">
        <f>DV39-DX39+$J39</f>
        <v>1.8185829662808826E-2</v>
      </c>
      <c r="DZ39" s="16">
        <f>DY39/$D39</f>
        <v>1.8185829662808826E-2</v>
      </c>
      <c r="EA39" s="14">
        <f>DV39*$Z$10</f>
        <v>9.2259952909252707</v>
      </c>
      <c r="EB39" s="14">
        <f>DX39*$M39*$AA$7*$D$11</f>
        <v>1.0165369187256776</v>
      </c>
      <c r="EC39" s="14">
        <f>EA39-EB39+$K39</f>
        <v>84.354458372199602</v>
      </c>
      <c r="ED39" s="44">
        <f>EC39/$D39</f>
        <v>84.354458372199602</v>
      </c>
      <c r="EE39" s="43">
        <f>100+15</f>
        <v>115</v>
      </c>
      <c r="EF39" s="15">
        <f>-0.00002515*EE39^3+0.0100767*EE39^2-1.45844836*EE39+82.96962576</f>
        <v>10.262415609999962</v>
      </c>
      <c r="EG39" s="15">
        <f>$G$39/(EF39*1000)</f>
        <v>2.8916679690438071E-3</v>
      </c>
      <c r="EH39" s="15">
        <f>EF39</f>
        <v>10.262415609999962</v>
      </c>
      <c r="EI39" s="15">
        <f>($I39/EH39)/1000</f>
        <v>9.7752097218154876E-4</v>
      </c>
      <c r="EJ39" s="24">
        <f>EG39-EI39+$J39</f>
        <v>1.8080813663528924E-2</v>
      </c>
      <c r="EK39" s="16">
        <f>EJ39/$D39</f>
        <v>1.8080813663528924E-2</v>
      </c>
      <c r="EL39" s="14">
        <f>EG39*$AA$10</f>
        <v>8.4327989261287382</v>
      </c>
      <c r="EM39" s="14">
        <f>EI39*$M39*$AB$7*$D$11</f>
        <v>0.97880961802848498</v>
      </c>
      <c r="EN39" s="14">
        <f>EL39-EM39+$K39</f>
        <v>83.598989308100258</v>
      </c>
      <c r="EO39" s="44">
        <f>EN39/$D39</f>
        <v>83.598989308100258</v>
      </c>
      <c r="EP39" s="43">
        <f>101+15</f>
        <v>116</v>
      </c>
      <c r="EQ39" s="15">
        <f>-0.00002515*EP39^3+0.0100767*EP39^2-1.45844836*EP39+82.96962576</f>
        <v>10.125156799999999</v>
      </c>
      <c r="ER39" s="15">
        <f>$G$39/(EQ39*1000)</f>
        <v>2.9308680438857059E-3</v>
      </c>
      <c r="ES39" s="15">
        <f>EQ39</f>
        <v>10.125156799999999</v>
      </c>
      <c r="ET39" s="15">
        <f>($I39/ES39)/1000</f>
        <v>9.9077245737253807E-4</v>
      </c>
      <c r="EU39" s="24">
        <f>ER39-ET39+$J39</f>
        <v>1.8106762253179833E-2</v>
      </c>
      <c r="EV39" s="16">
        <f>EU39/$D39</f>
        <v>1.8106762253179833E-2</v>
      </c>
      <c r="EW39" s="14">
        <f>ER39*$AB$10</f>
        <v>8.6814196650092388</v>
      </c>
      <c r="EX39" s="14">
        <f>ET39*$M39*$AC$7*$D$11</f>
        <v>1.0149120911321947</v>
      </c>
      <c r="EY39" s="14">
        <f>EW39-EX39+$K39</f>
        <v>83.811507573877051</v>
      </c>
      <c r="EZ39" s="44">
        <f>EY39/$D39</f>
        <v>83.811507573877051</v>
      </c>
      <c r="FA39" s="43">
        <f>103+15</f>
        <v>118</v>
      </c>
      <c r="FB39" s="15">
        <f>-0.00002515*FA39^3+0.0100767*FA39^2-1.45844836*FA39+82.96962576</f>
        <v>9.8584352799999948</v>
      </c>
      <c r="FC39" s="15">
        <f>$G$39/(FB39*1000)</f>
        <v>3.0101631406614124E-3</v>
      </c>
      <c r="FD39" s="15">
        <f>FB39</f>
        <v>9.8584352799999948</v>
      </c>
      <c r="FE39" s="15">
        <f>($I39/FD39)/1000</f>
        <v>1.0175779623334171E-3</v>
      </c>
      <c r="FF39" s="24">
        <f>FC39-FE39+$J39</f>
        <v>1.8159251844994662E-2</v>
      </c>
      <c r="FG39" s="16">
        <f>FF39/$D39</f>
        <v>1.8159251844994662E-2</v>
      </c>
      <c r="FH39" s="14">
        <f>FC39*$AC$10</f>
        <v>9.1215128771774019</v>
      </c>
      <c r="FI39" s="14">
        <f>FE39*$M39*$AD$7*$D$11</f>
        <v>1.0309662777832829</v>
      </c>
      <c r="FJ39" s="14">
        <f>FH39-FI39+$K39</f>
        <v>84.235546599394127</v>
      </c>
      <c r="FK39" s="44">
        <f>FJ39/$D39</f>
        <v>84.235546599394127</v>
      </c>
      <c r="FL39" s="43">
        <f>113+15</f>
        <v>128</v>
      </c>
      <c r="FM39" s="15">
        <f>-0.00002515*FL39^3+0.0100767*FL39^2-1.45844836*FL39+82.96962576</f>
        <v>8.6415156799999835</v>
      </c>
      <c r="FN39" s="15">
        <f>$G$39/(FM39*1000)</f>
        <v>3.4340617552929215E-3</v>
      </c>
      <c r="FO39" s="15">
        <f>FM39</f>
        <v>8.6415156799999835</v>
      </c>
      <c r="FP39" s="15">
        <f>($I39/FO39)/1000</f>
        <v>1.1608758064555504E-3</v>
      </c>
      <c r="FQ39" s="24">
        <f>FN39-FP39+$J39</f>
        <v>1.8439852615504036E-2</v>
      </c>
      <c r="FR39" s="16">
        <f>FQ39/$D39</f>
        <v>1.8439852615504036E-2</v>
      </c>
      <c r="FS39" s="14">
        <f>FN39*$AD$10</f>
        <v>10.29217610537413</v>
      </c>
      <c r="FT39" s="14">
        <f>FP39*$M39*$AE$7*$D$11</f>
        <v>1.297863495617364</v>
      </c>
      <c r="FU39" s="14">
        <f>FS39-FT39+$K39</f>
        <v>85.139312609756772</v>
      </c>
      <c r="FV39" s="44">
        <f>FU39/$D39</f>
        <v>85.139312609756772</v>
      </c>
      <c r="FW39" s="43">
        <f>85+15</f>
        <v>100</v>
      </c>
      <c r="FX39" s="15">
        <f>-0.00002515*FW39^3+0.0100767*FW39^2-1.45844836*FW39+82.96962576</f>
        <v>12.741789760000003</v>
      </c>
      <c r="FY39" s="15">
        <f>$G$39/(FX39*1000)</f>
        <v>2.3289898093917416E-3</v>
      </c>
      <c r="FZ39" s="15">
        <f>FX39</f>
        <v>12.741789760000003</v>
      </c>
      <c r="GA39" s="15">
        <f>($I39/FZ39)/1000</f>
        <v>7.8730905728099715E-4</v>
      </c>
      <c r="GB39" s="24">
        <f>FY39-GA39+$J39</f>
        <v>1.7708347418777411E-2</v>
      </c>
      <c r="GC39" s="16">
        <f>GB39/$D39</f>
        <v>1.7708347418777411E-2</v>
      </c>
      <c r="GD39" s="14">
        <f>FY39*$AE$10</f>
        <v>7.7025262320042138</v>
      </c>
      <c r="GE39" s="14">
        <f>GA39*$M39*$AF$7*$D$11</f>
        <v>0.73565003147421226</v>
      </c>
      <c r="GF39" s="14">
        <f>GD39-GE39+$K39</f>
        <v>83.111876200530006</v>
      </c>
      <c r="GG39" s="44">
        <f>GF39/$D39</f>
        <v>83.111876200530006</v>
      </c>
    </row>
    <row r="40" spans="2:202" ht="13.8" x14ac:dyDescent="0.25">
      <c r="B40" s="167" t="s">
        <v>155</v>
      </c>
      <c r="C40" s="3" t="s">
        <v>156</v>
      </c>
      <c r="D40" s="3">
        <v>1</v>
      </c>
      <c r="E40" s="3">
        <v>0</v>
      </c>
      <c r="F40" s="3">
        <f>E40-10</f>
        <v>-10</v>
      </c>
      <c r="G40" s="11">
        <f>'Cooling Load'!$F$33</f>
        <v>29.675498504452051</v>
      </c>
      <c r="H40" s="14">
        <f>G40*1.15</f>
        <v>34.126823280119858</v>
      </c>
      <c r="I40" s="14">
        <f>'Cooling Load'!$I$33</f>
        <v>10.031726484018265</v>
      </c>
      <c r="J40" s="110">
        <f>'Cooling Load'!I21</f>
        <v>1.6166666666666666E-2</v>
      </c>
      <c r="K40" s="109">
        <f>'Cooling Load'!I27</f>
        <v>76.14500000000001</v>
      </c>
      <c r="L40" s="98">
        <f>I40/H40</f>
        <v>0.29395430103985443</v>
      </c>
      <c r="M40" s="97">
        <f>(1-(1-L40))*(1-$E$8)</f>
        <v>0.26455887093586899</v>
      </c>
      <c r="N40" s="43">
        <f>69+10</f>
        <v>79</v>
      </c>
      <c r="O40" s="15">
        <f>0.00000491*N40^3-0.00107023*N40^2-0.03013591*N40+15.74788397</f>
        <v>9.1086631400000009</v>
      </c>
      <c r="P40" s="15">
        <f>$G$40/(O40*1000)</f>
        <v>3.2579422521549139E-3</v>
      </c>
      <c r="Q40" s="15">
        <f>O40</f>
        <v>9.1086631400000009</v>
      </c>
      <c r="R40" s="15">
        <f>($I40/Q40)/1000</f>
        <v>1.1013390581944677E-3</v>
      </c>
      <c r="S40" s="24">
        <f>P40-R40+$J40</f>
        <v>1.8323269860627111E-2</v>
      </c>
      <c r="T40" s="16">
        <f>S40/$D40</f>
        <v>1.8323269860627111E-2</v>
      </c>
      <c r="U40" s="14">
        <f>P40*$Q$11</f>
        <v>8.9177807541283727</v>
      </c>
      <c r="V40" s="14">
        <f>R40*$M40*$Q$7*$E$11</f>
        <v>1.0190889901357352</v>
      </c>
      <c r="W40" s="14">
        <f>U40-V40+$K40</f>
        <v>84.043691763992655</v>
      </c>
      <c r="X40" s="44">
        <f>W40/$D40</f>
        <v>84.043691763992655</v>
      </c>
      <c r="Y40" s="43">
        <f>96+10</f>
        <v>106</v>
      </c>
      <c r="Z40" s="15">
        <f>0.00000491*Y40^3-0.00107023*Y40^2-0.03013591*Y40+15.74788397</f>
        <v>6.3762617900000009</v>
      </c>
      <c r="AA40" s="15">
        <f>$G$40/(Z40*1000)</f>
        <v>4.6540589897034398E-3</v>
      </c>
      <c r="AB40" s="15">
        <f>Z40</f>
        <v>6.3762617900000009</v>
      </c>
      <c r="AC40" s="15">
        <f>($I40/AB40)/1000</f>
        <v>1.5732927559140044E-3</v>
      </c>
      <c r="AD40" s="24">
        <f>AA40-AC40+$J40</f>
        <v>1.92474329004561E-2</v>
      </c>
      <c r="AE40" s="16">
        <f>AD40/$D40</f>
        <v>1.92474329004561E-2</v>
      </c>
      <c r="AF40" s="14">
        <f>AA40*$R$11</f>
        <v>12.832509356360816</v>
      </c>
      <c r="AG40" s="14">
        <f>AC40*$M40*$R$7*$E$11</f>
        <v>1.466448812932194</v>
      </c>
      <c r="AH40" s="14">
        <f>AF40-AG40+$K40</f>
        <v>87.511060543428627</v>
      </c>
      <c r="AI40" s="44">
        <f>AH40/$D40</f>
        <v>87.511060543428627</v>
      </c>
      <c r="AJ40" s="43">
        <f>89+10</f>
        <v>99</v>
      </c>
      <c r="AK40" s="15">
        <f>0.00000491*AJ40^3-0.00107023*AJ40^2-0.03013591*AJ40+15.74788397</f>
        <v>7.0392727400000012</v>
      </c>
      <c r="AL40" s="15">
        <f>$G$40/(AK40*1000)</f>
        <v>4.2157051730392315E-3</v>
      </c>
      <c r="AM40" s="15">
        <f>AK40</f>
        <v>7.0392727400000012</v>
      </c>
      <c r="AN40" s="15">
        <f>($I40/AM40)/1000</f>
        <v>1.4251083676604726E-3</v>
      </c>
      <c r="AO40" s="24">
        <f>AL40-AN40+$J40</f>
        <v>1.8957263472045426E-2</v>
      </c>
      <c r="AP40" s="16">
        <f>AO40/$D40</f>
        <v>1.8957263472045426E-2</v>
      </c>
      <c r="AQ40" s="14">
        <f>AL40*$Q$11</f>
        <v>11.539410937177367</v>
      </c>
      <c r="AR40" s="14">
        <f>AN40*$M40*$S$7*$E$11</f>
        <v>1.3504200576741918</v>
      </c>
      <c r="AS40" s="14">
        <f>AQ40-AR40+$K40</f>
        <v>86.33399087950319</v>
      </c>
      <c r="AT40" s="44">
        <f>AS40/$D40</f>
        <v>86.33399087950319</v>
      </c>
      <c r="AU40" s="43">
        <f>88+10</f>
        <v>98</v>
      </c>
      <c r="AV40" s="15">
        <f>0.00000491*AU40^3-0.00107023*AU40^2-0.03013591*AU40+15.74788397</f>
        <v>7.137328590000001</v>
      </c>
      <c r="AW40" s="178">
        <f>$G$40/(AV40*1000)</f>
        <v>4.1577879076535621E-3</v>
      </c>
      <c r="AX40" s="15">
        <f>AV40</f>
        <v>7.137328590000001</v>
      </c>
      <c r="AY40" s="15">
        <f>($I40/AX40)/1000</f>
        <v>1.4055295840062008E-3</v>
      </c>
      <c r="AZ40" s="24">
        <f>AW40-AY40+$J40</f>
        <v>1.8918924990314029E-2</v>
      </c>
      <c r="BA40" s="16">
        <f>AZ40/$D40</f>
        <v>1.8918924990314029E-2</v>
      </c>
      <c r="BB40" s="14">
        <f>AW40*$S$11</f>
        <v>11.6548224601716</v>
      </c>
      <c r="BC40" s="14">
        <f>AY40*$M40*$T$7*$E$11</f>
        <v>1.3638266103456378</v>
      </c>
      <c r="BD40" s="14">
        <f>BB40-BC40+$K40</f>
        <v>86.435995849825972</v>
      </c>
      <c r="BE40" s="44">
        <f>BD40/$D40</f>
        <v>86.435995849825972</v>
      </c>
      <c r="BF40" s="43">
        <f>83+10</f>
        <v>93</v>
      </c>
      <c r="BG40" s="15">
        <f>0.00000491*BF40^3-0.00107023*BF40^2-0.03013591*BF40+15.74788397</f>
        <v>7.6382179400000023</v>
      </c>
      <c r="BH40" s="15">
        <f>$G$40/(BG40*1000)</f>
        <v>3.8851337756476796E-3</v>
      </c>
      <c r="BI40" s="15">
        <f>BG40</f>
        <v>7.6382179400000023</v>
      </c>
      <c r="BJ40" s="15">
        <f>($I40/BI40)/1000</f>
        <v>1.3133595509868708E-3</v>
      </c>
      <c r="BK40" s="24">
        <f>BH40-BJ40+$J40</f>
        <v>1.8738440891327476E-2</v>
      </c>
      <c r="BL40" s="16">
        <f>BK40/$D40</f>
        <v>1.8738440891327476E-2</v>
      </c>
      <c r="BM40" s="14">
        <f>BH40*$T$11</f>
        <v>11.151864571229815</v>
      </c>
      <c r="BN40" s="14">
        <f>BJ40*$M40*$U$7*$E$11</f>
        <v>1.2480756466103664</v>
      </c>
      <c r="BO40" s="14">
        <f>BM40-BN40+$K40</f>
        <v>86.048788924619458</v>
      </c>
      <c r="BP40" s="44">
        <f>BO40/$D40</f>
        <v>86.048788924619458</v>
      </c>
      <c r="BQ40" s="43">
        <f>86+10</f>
        <v>96</v>
      </c>
      <c r="BR40" s="15">
        <f>0.00000491*BQ40^3-0.00107023*BQ40^2-0.03013591*BQ40+15.74788397</f>
        <v>7.3356506900000014</v>
      </c>
      <c r="BS40" s="15">
        <f>$G$40/(BR40*1000)</f>
        <v>4.0453805338503714E-3</v>
      </c>
      <c r="BT40" s="15">
        <f>BR40</f>
        <v>7.3356506900000014</v>
      </c>
      <c r="BU40" s="15">
        <f>($I40/BT40)/1000</f>
        <v>1.3675305583584518E-3</v>
      </c>
      <c r="BV40" s="24">
        <f>BS40-BU40+$J40</f>
        <v>1.8844516642158585E-2</v>
      </c>
      <c r="BW40" s="16">
        <f>BV40/$D40</f>
        <v>1.8844516642158585E-2</v>
      </c>
      <c r="BX40" s="14">
        <f>BS40*$U$11</f>
        <v>11.37205609438282</v>
      </c>
      <c r="BY40" s="14">
        <f>BU40*$M40*$V$7*$E$11</f>
        <v>1.3444793385887388</v>
      </c>
      <c r="BZ40" s="14">
        <f>BX40-BY40+$K40</f>
        <v>86.172576755794097</v>
      </c>
      <c r="CA40" s="44">
        <f>BZ40/$D40</f>
        <v>86.172576755794097</v>
      </c>
      <c r="CB40" s="43">
        <f>83+10</f>
        <v>93</v>
      </c>
      <c r="CC40" s="15">
        <f>0.00000491*CB40^3-0.00107023*CB40^2-0.03013591*CB40+15.74788397</f>
        <v>7.6382179400000023</v>
      </c>
      <c r="CD40" s="15">
        <f>$G$40/(CC40*1000)</f>
        <v>3.8851337756476796E-3</v>
      </c>
      <c r="CE40" s="15">
        <f>CC40</f>
        <v>7.6382179400000023</v>
      </c>
      <c r="CF40" s="15">
        <f>($I40/CE40)/1000</f>
        <v>1.3133595509868708E-3</v>
      </c>
      <c r="CG40" s="24">
        <f>CD40-CF40+$J40</f>
        <v>1.8738440891327476E-2</v>
      </c>
      <c r="CH40" s="16">
        <f>CG40/$D40</f>
        <v>1.8738440891327476E-2</v>
      </c>
      <c r="CI40" s="14">
        <f>CD40*$V$11</f>
        <v>11.299140548170957</v>
      </c>
      <c r="CJ40" s="14">
        <f>CF40*$M40*$W$7*$E$11</f>
        <v>1.304750230968297</v>
      </c>
      <c r="CK40" s="14">
        <f>CI40-CJ40+$K40</f>
        <v>86.139390317202668</v>
      </c>
      <c r="CL40" s="44">
        <f>CK40/$D40</f>
        <v>86.139390317202668</v>
      </c>
      <c r="CM40" s="43">
        <f>94+10</f>
        <v>104</v>
      </c>
      <c r="CN40" s="15">
        <f>0.00000491*CM40^3-0.00107023*CM40^2-0.03013591*CM40+15.74788397</f>
        <v>6.5612238900000026</v>
      </c>
      <c r="CO40" s="15">
        <f>$G$40/(CN40*1000)</f>
        <v>4.5228602166252308E-3</v>
      </c>
      <c r="CP40" s="15">
        <f>CN40</f>
        <v>6.5612238900000026</v>
      </c>
      <c r="CQ40" s="15">
        <f>($I40/CP40)/1000</f>
        <v>1.5289413457308893E-3</v>
      </c>
      <c r="CR40" s="24">
        <f>CO40-CQ40+$J40</f>
        <v>1.9160585537561007E-2</v>
      </c>
      <c r="CS40" s="16">
        <f>CR40/$D40</f>
        <v>1.9160585537561007E-2</v>
      </c>
      <c r="CT40" s="14">
        <f>CO40*$W$11</f>
        <v>13.291660871471375</v>
      </c>
      <c r="CU40" s="14">
        <f>CQ40*$M40*$X$7*$E$11</f>
        <v>1.5122604343647914</v>
      </c>
      <c r="CV40" s="14">
        <f>CT40-CU40+$K40</f>
        <v>87.924400437106598</v>
      </c>
      <c r="CW40" s="44">
        <f>CV40/$D40</f>
        <v>87.924400437106598</v>
      </c>
      <c r="CX40" s="43">
        <f>96+10</f>
        <v>106</v>
      </c>
      <c r="CY40" s="15">
        <f>0.00000491*CX40^3-0.00107023*CX40^2-0.03013591*CX40+15.74788397</f>
        <v>6.3762617900000009</v>
      </c>
      <c r="CZ40" s="15">
        <f>$G$40/(CY40*1000)</f>
        <v>4.6540589897034398E-3</v>
      </c>
      <c r="DA40" s="15">
        <f>CY40</f>
        <v>6.3762617900000009</v>
      </c>
      <c r="DB40" s="15">
        <f>($I40/DA40)/1000</f>
        <v>1.5732927559140044E-3</v>
      </c>
      <c r="DC40" s="24">
        <f>CZ40-DB40+$J40</f>
        <v>1.92474329004561E-2</v>
      </c>
      <c r="DD40" s="16">
        <f>DC40/$D40</f>
        <v>1.92474329004561E-2</v>
      </c>
      <c r="DE40" s="14">
        <f>CZ40*$X$11</f>
        <v>13.617268129025012</v>
      </c>
      <c r="DF40" s="14">
        <f>DB40*$M40*$Y$7*$E$11</f>
        <v>1.5404813186099995</v>
      </c>
      <c r="DG40" s="14">
        <f>DE40-DF40+$K40</f>
        <v>88.221786810415026</v>
      </c>
      <c r="DH40" s="44">
        <f>DG40/$D40</f>
        <v>88.221786810415026</v>
      </c>
      <c r="DI40" s="43">
        <f>100+10</f>
        <v>110</v>
      </c>
      <c r="DJ40" s="15">
        <f>0.00000491*DI40^3-0.00107023*DI40^2-0.03013591*DI40+15.74788397</f>
        <v>6.0183608700000022</v>
      </c>
      <c r="DK40" s="15">
        <f>$G$40/(DJ40*1000)</f>
        <v>4.9308273706844099E-3</v>
      </c>
      <c r="DL40" s="15">
        <f>DJ40</f>
        <v>6.0183608700000022</v>
      </c>
      <c r="DM40" s="15">
        <f>($I40/DL40)/1000</f>
        <v>1.6668536002923768E-3</v>
      </c>
      <c r="DN40" s="24">
        <f>DK40-DM40+$J40</f>
        <v>1.9430640437058701E-2</v>
      </c>
      <c r="DO40" s="16">
        <f>DN40/$D40</f>
        <v>1.9430640437058701E-2</v>
      </c>
      <c r="DP40" s="14">
        <f>DK40*$Y$11</f>
        <v>14.282000096927003</v>
      </c>
      <c r="DQ40" s="14">
        <f>DM40*$M40*$Z$7*$E$11</f>
        <v>1.6145917644840819</v>
      </c>
      <c r="DR40" s="14">
        <f>DP40-DQ40+$K40</f>
        <v>88.812408332442928</v>
      </c>
      <c r="DS40" s="44">
        <f>DR40/$D40</f>
        <v>88.812408332442928</v>
      </c>
      <c r="DT40" s="43">
        <f>104+10</f>
        <v>114</v>
      </c>
      <c r="DU40" s="15">
        <f>0.00000491*DT40^3-0.00107023*DT40^2-0.03013591*DT40+15.74788397</f>
        <v>5.6780621900000021</v>
      </c>
      <c r="DV40" s="15">
        <f>$G$40/(DU40*1000)</f>
        <v>5.2263426344141611E-3</v>
      </c>
      <c r="DW40" s="15">
        <f>DU40</f>
        <v>5.6780621900000021</v>
      </c>
      <c r="DX40" s="15">
        <f>($I40/DW40)/1000</f>
        <v>1.7667517805081069E-3</v>
      </c>
      <c r="DY40" s="24">
        <f>DV40-DX40+$J40</f>
        <v>1.9626257520572721E-2</v>
      </c>
      <c r="DZ40" s="16">
        <f>DY40/$D40</f>
        <v>1.9626257520572721E-2</v>
      </c>
      <c r="EA40" s="14">
        <f>DV40*$Z$11</f>
        <v>14.975643549688561</v>
      </c>
      <c r="EB40" s="14">
        <f>DX40*$M40*$AA$7*$E$11</f>
        <v>1.6500436072093141</v>
      </c>
      <c r="EC40" s="14">
        <f>EA40-EB40+$K40</f>
        <v>89.470599942479254</v>
      </c>
      <c r="ED40" s="44">
        <f>EC40/$D40</f>
        <v>89.470599942479254</v>
      </c>
      <c r="EE40" s="43">
        <f>100+10</f>
        <v>110</v>
      </c>
      <c r="EF40" s="15">
        <f>0.00000491*EE40^3-0.00107023*EE40^2-0.03013591*EE40+15.74788397</f>
        <v>6.0183608700000022</v>
      </c>
      <c r="EG40" s="15">
        <f>$G$40/(EF40*1000)</f>
        <v>4.9308273706844099E-3</v>
      </c>
      <c r="EH40" s="15">
        <f>EF40</f>
        <v>6.0183608700000022</v>
      </c>
      <c r="EI40" s="15">
        <f>($I40/EH40)/1000</f>
        <v>1.6668536002923768E-3</v>
      </c>
      <c r="EJ40" s="24">
        <f>EG40-EI40+$J40</f>
        <v>1.9430640437058701E-2</v>
      </c>
      <c r="EK40" s="16">
        <f>EJ40/$D40</f>
        <v>1.9430640437058701E-2</v>
      </c>
      <c r="EL40" s="14">
        <f>EG40*$AA$11</f>
        <v>13.62266330691484</v>
      </c>
      <c r="EM40" s="14">
        <f>EI40*$M40*$AB$7*$E$11</f>
        <v>1.5812061908243835</v>
      </c>
      <c r="EN40" s="14">
        <f>EL40-EM40+$K40</f>
        <v>88.186457116090466</v>
      </c>
      <c r="EO40" s="44">
        <f>EN40/$D40</f>
        <v>88.186457116090466</v>
      </c>
      <c r="EP40" s="43">
        <f>101+10</f>
        <v>111</v>
      </c>
      <c r="EQ40" s="15">
        <f>0.00000491*EP40^3-0.00107023*EP40^2-0.03013591*EP40+15.74788397</f>
        <v>5.9315623400000028</v>
      </c>
      <c r="ER40" s="15">
        <f>$G$40/(EQ40*1000)</f>
        <v>5.0029818121159683E-3</v>
      </c>
      <c r="ES40" s="15">
        <f>EQ40</f>
        <v>5.9315623400000028</v>
      </c>
      <c r="ET40" s="15">
        <f>($I40/ES40)/1000</f>
        <v>1.6912452249500018E-3</v>
      </c>
      <c r="EU40" s="24">
        <f>ER40-ET40+$J40</f>
        <v>1.9478403253832634E-2</v>
      </c>
      <c r="EV40" s="16">
        <f>EU40/$D40</f>
        <v>1.9478403253832634E-2</v>
      </c>
      <c r="EW40" s="14">
        <f>ER40*$AB$11</f>
        <v>14.039198458877351</v>
      </c>
      <c r="EX40" s="14">
        <f>ET40*$M40*$AC$7*$E$11</f>
        <v>1.6412698401332191</v>
      </c>
      <c r="EY40" s="14">
        <f>EW40-EX40+$K40</f>
        <v>88.542928618744142</v>
      </c>
      <c r="EZ40" s="44">
        <f>EY40/$D40</f>
        <v>88.542928618744142</v>
      </c>
      <c r="FA40" s="43">
        <f>103+10</f>
        <v>113</v>
      </c>
      <c r="FB40" s="15">
        <f>0.00000491*FA40^3-0.00107023*FA40^2-0.03013591*FA40+15.74788397</f>
        <v>5.7613835400000024</v>
      </c>
      <c r="FC40" s="15">
        <f>$G$40/(FB40*1000)</f>
        <v>5.1507590665370003E-3</v>
      </c>
      <c r="FD40" s="15">
        <f>FB40</f>
        <v>5.7613835400000024</v>
      </c>
      <c r="FE40" s="15">
        <f>($I40/FD40)/1000</f>
        <v>1.7412009484128635E-3</v>
      </c>
      <c r="FF40" s="24">
        <f>FC40-FE40+$J40</f>
        <v>1.9576224784790801E-2</v>
      </c>
      <c r="FG40" s="16">
        <f>FF40/$D40</f>
        <v>1.9576224784790801E-2</v>
      </c>
      <c r="FH40" s="14">
        <f>FC40*$AC$11</f>
        <v>14.786554279963973</v>
      </c>
      <c r="FI40" s="14">
        <f>FE40*$M40*$AD$7*$E$11</f>
        <v>1.6712621066838014</v>
      </c>
      <c r="FJ40" s="14">
        <f>FH40-FI40+$K40</f>
        <v>89.260292173280178</v>
      </c>
      <c r="FK40" s="44">
        <f>FJ40/$D40</f>
        <v>89.260292173280178</v>
      </c>
      <c r="FL40" s="43">
        <f>113+10</f>
        <v>123</v>
      </c>
      <c r="FM40" s="15">
        <f>0.00000491*FL40^3-0.00107023*FL40^2-0.03013591*FL40+15.74788397</f>
        <v>4.9865143400000029</v>
      </c>
      <c r="FN40" s="15">
        <f>$G$40/(FM40*1000)</f>
        <v>5.9511507399880514E-3</v>
      </c>
      <c r="FO40" s="15">
        <f>FM40</f>
        <v>4.9865143400000029</v>
      </c>
      <c r="FP40" s="15">
        <f>($I40/FO40)/1000</f>
        <v>2.0117713095794002E-3</v>
      </c>
      <c r="FQ40" s="24">
        <f>FN40-FP40+$J40</f>
        <v>2.0106046097075315E-2</v>
      </c>
      <c r="FR40" s="16">
        <f>FQ40/$D40</f>
        <v>2.0106046097075315E-2</v>
      </c>
      <c r="FS40" s="14">
        <f>FN40*$AD$11</f>
        <v>16.897364121766469</v>
      </c>
      <c r="FT40" s="14">
        <f>FP40*$M40*$AE$7*$E$11</f>
        <v>2.1307905967858547</v>
      </c>
      <c r="FU40" s="14">
        <f>FS40-FT40+$K40</f>
        <v>90.911573524980625</v>
      </c>
      <c r="FV40" s="44">
        <f>FU40/$D40</f>
        <v>90.911573524980625</v>
      </c>
      <c r="FW40" s="43">
        <f>85+10</f>
        <v>95</v>
      </c>
      <c r="FX40" s="15">
        <f>0.00000491*FW40^3-0.00107023*FW40^2-0.03013591*FW40+15.74788397</f>
        <v>7.4358580200000013</v>
      </c>
      <c r="FY40" s="15">
        <f>$G$40/(FX40*1000)</f>
        <v>3.990864056929915E-3</v>
      </c>
      <c r="FZ40" s="15">
        <f>FX40</f>
        <v>7.4358580200000013</v>
      </c>
      <c r="GA40" s="15">
        <f>($I40/FZ40)/1000</f>
        <v>1.3491014025598974E-3</v>
      </c>
      <c r="GB40" s="24">
        <f>FY40-GA40+$J40</f>
        <v>1.8808429321036685E-2</v>
      </c>
      <c r="GC40" s="16">
        <f>GB40/$D40</f>
        <v>1.8808429321036685E-2</v>
      </c>
      <c r="GD40" s="14">
        <f>FY40*$AE$11</f>
        <v>12.504071153675675</v>
      </c>
      <c r="GE40" s="14">
        <f>GA40*$M40*$AF$7*$E$11</f>
        <v>1.1942342110484185</v>
      </c>
      <c r="GF40" s="14">
        <f>GD40-GE40+$K40</f>
        <v>87.454836942627267</v>
      </c>
      <c r="GG40" s="44">
        <f>GF40/$D40</f>
        <v>87.454836942627267</v>
      </c>
    </row>
    <row r="41" spans="2:202" ht="14.4" hidden="1" x14ac:dyDescent="0.3">
      <c r="B41" s="30" t="s">
        <v>114</v>
      </c>
      <c r="C41" s="7"/>
      <c r="D41" s="7"/>
      <c r="E41" s="7"/>
      <c r="F41" s="3"/>
      <c r="G41" s="3"/>
      <c r="H41" s="8"/>
      <c r="I41" s="12"/>
      <c r="J41" s="111"/>
      <c r="K41" s="108"/>
      <c r="L41" s="98"/>
      <c r="M41" s="97"/>
      <c r="N41" s="45"/>
      <c r="O41" s="22"/>
      <c r="P41" s="15"/>
      <c r="Q41" s="22"/>
      <c r="R41" s="15"/>
      <c r="S41" s="24"/>
      <c r="T41" s="16"/>
      <c r="U41" s="14"/>
      <c r="V41" s="14"/>
      <c r="W41" s="14"/>
      <c r="X41" s="44"/>
      <c r="Y41" s="45"/>
      <c r="Z41" s="22"/>
      <c r="AA41" s="15"/>
      <c r="AB41" s="22"/>
      <c r="AC41" s="15"/>
      <c r="AD41" s="24"/>
      <c r="AE41" s="16"/>
      <c r="AF41" s="14"/>
      <c r="AG41" s="14"/>
      <c r="AH41" s="14"/>
      <c r="AI41" s="44"/>
      <c r="AJ41" s="45"/>
      <c r="AK41" s="22"/>
      <c r="AL41" s="15"/>
      <c r="AM41" s="22"/>
      <c r="AN41" s="15"/>
      <c r="AO41" s="24"/>
      <c r="AP41" s="16"/>
      <c r="AQ41" s="14"/>
      <c r="AR41" s="14"/>
      <c r="AS41" s="14"/>
      <c r="AT41" s="44"/>
      <c r="AU41" s="45"/>
      <c r="AV41" s="22"/>
      <c r="AW41" s="15"/>
      <c r="AX41" s="22"/>
      <c r="AY41" s="15"/>
      <c r="AZ41" s="24"/>
      <c r="BA41" s="16"/>
      <c r="BB41" s="14"/>
      <c r="BC41" s="14"/>
      <c r="BD41" s="14"/>
      <c r="BE41" s="44"/>
      <c r="BF41" s="45"/>
      <c r="BG41" s="22"/>
      <c r="BH41" s="15"/>
      <c r="BI41" s="22"/>
      <c r="BJ41" s="15"/>
      <c r="BK41" s="24"/>
      <c r="BL41" s="16"/>
      <c r="BM41" s="14"/>
      <c r="BN41" s="14"/>
      <c r="BO41" s="14"/>
      <c r="BP41" s="44"/>
      <c r="BQ41" s="45"/>
      <c r="BR41" s="22"/>
      <c r="BS41" s="15"/>
      <c r="BT41" s="22"/>
      <c r="BU41" s="15"/>
      <c r="BV41" s="24"/>
      <c r="BW41" s="16"/>
      <c r="BX41" s="14"/>
      <c r="BY41" s="14"/>
      <c r="BZ41" s="14"/>
      <c r="CA41" s="44"/>
      <c r="CB41" s="45"/>
      <c r="CC41" s="22"/>
      <c r="CD41" s="15"/>
      <c r="CE41" s="22"/>
      <c r="CF41" s="15"/>
      <c r="CG41" s="24"/>
      <c r="CH41" s="16"/>
      <c r="CI41" s="14"/>
      <c r="CJ41" s="14"/>
      <c r="CK41" s="14"/>
      <c r="CL41" s="44"/>
      <c r="CM41" s="45"/>
      <c r="CN41" s="22"/>
      <c r="CO41" s="15"/>
      <c r="CP41" s="22"/>
      <c r="CQ41" s="15"/>
      <c r="CR41" s="24"/>
      <c r="CS41" s="16"/>
      <c r="CT41" s="14"/>
      <c r="CU41" s="14"/>
      <c r="CV41" s="14"/>
      <c r="CW41" s="44"/>
      <c r="CX41" s="45"/>
      <c r="CY41" s="22"/>
      <c r="CZ41" s="15"/>
      <c r="DA41" s="22"/>
      <c r="DB41" s="15"/>
      <c r="DC41" s="24"/>
      <c r="DD41" s="16"/>
      <c r="DE41" s="14"/>
      <c r="DF41" s="14"/>
      <c r="DG41" s="14"/>
      <c r="DH41" s="44"/>
      <c r="DI41" s="45"/>
      <c r="DJ41" s="22"/>
      <c r="DK41" s="15"/>
      <c r="DL41" s="22"/>
      <c r="DM41" s="15"/>
      <c r="DN41" s="24"/>
      <c r="DO41" s="16"/>
      <c r="DP41" s="14"/>
      <c r="DQ41" s="14"/>
      <c r="DR41" s="14"/>
      <c r="DS41" s="44"/>
      <c r="DT41" s="45"/>
      <c r="DU41" s="22"/>
      <c r="DV41" s="15"/>
      <c r="DW41" s="22"/>
      <c r="DX41" s="15"/>
      <c r="DY41" s="24"/>
      <c r="DZ41" s="16"/>
      <c r="EA41" s="14"/>
      <c r="EB41" s="14"/>
      <c r="EC41" s="14"/>
      <c r="ED41" s="44"/>
      <c r="EE41" s="45"/>
      <c r="EF41" s="22"/>
      <c r="EG41" s="15"/>
      <c r="EH41" s="22"/>
      <c r="EI41" s="15"/>
      <c r="EJ41" s="24"/>
      <c r="EK41" s="16"/>
      <c r="EL41" s="14"/>
      <c r="EM41" s="14"/>
      <c r="EN41" s="14"/>
      <c r="EO41" s="44"/>
      <c r="EP41" s="45"/>
      <c r="EQ41" s="22"/>
      <c r="ER41" s="15"/>
      <c r="ES41" s="22"/>
      <c r="ET41" s="15"/>
      <c r="EU41" s="24"/>
      <c r="EV41" s="16"/>
      <c r="EW41" s="14"/>
      <c r="EX41" s="14"/>
      <c r="EY41" s="14"/>
      <c r="EZ41" s="44"/>
      <c r="FA41" s="45"/>
      <c r="FB41" s="22"/>
      <c r="FC41" s="15"/>
      <c r="FD41" s="22"/>
      <c r="FE41" s="15"/>
      <c r="FF41" s="24"/>
      <c r="FG41" s="16"/>
      <c r="FH41" s="14"/>
      <c r="FI41" s="14"/>
      <c r="FJ41" s="14"/>
      <c r="FK41" s="44"/>
      <c r="FL41" s="45"/>
      <c r="FM41" s="22"/>
      <c r="FN41" s="15"/>
      <c r="FO41" s="22"/>
      <c r="FP41" s="15"/>
      <c r="FQ41" s="24"/>
      <c r="FR41" s="16"/>
      <c r="FS41" s="14"/>
      <c r="FT41" s="14"/>
      <c r="FU41" s="14"/>
      <c r="FV41" s="44"/>
      <c r="FW41" s="45"/>
      <c r="FX41" s="22"/>
      <c r="FY41" s="15"/>
      <c r="FZ41" s="22"/>
      <c r="GA41" s="15"/>
      <c r="GB41" s="24"/>
      <c r="GC41" s="16"/>
      <c r="GD41" s="14"/>
      <c r="GE41" s="14"/>
      <c r="GF41" s="14"/>
      <c r="GG41" s="44"/>
      <c r="GH41" s="1" t="s">
        <v>0</v>
      </c>
      <c r="GI41" s="61" t="e">
        <f>#REF!</f>
        <v>#REF!</v>
      </c>
      <c r="GJ41" s="62" t="e">
        <f>#REF!</f>
        <v>#REF!</v>
      </c>
      <c r="GK41" s="61" t="e">
        <f>#REF!</f>
        <v>#REF!</v>
      </c>
      <c r="GL41" s="62" t="e">
        <f>#REF!</f>
        <v>#REF!</v>
      </c>
      <c r="GM41" s="61" t="e">
        <f>#REF!</f>
        <v>#REF!</v>
      </c>
      <c r="GN41" s="62" t="e">
        <f>#REF!</f>
        <v>#REF!</v>
      </c>
      <c r="GO41" s="61" t="e">
        <f>#REF!</f>
        <v>#REF!</v>
      </c>
      <c r="GP41" s="62" t="e">
        <f>#REF!</f>
        <v>#REF!</v>
      </c>
      <c r="GQ41" s="61" t="e">
        <f>#REF!</f>
        <v>#REF!</v>
      </c>
      <c r="GR41" s="62" t="e">
        <f>#REF!</f>
        <v>#REF!</v>
      </c>
      <c r="GS41" s="61" t="e">
        <f>#REF!</f>
        <v>#REF!</v>
      </c>
      <c r="GT41" s="62" t="e">
        <f>#REF!</f>
        <v>#REF!</v>
      </c>
    </row>
    <row r="42" spans="2:202" ht="13.8" hidden="1" x14ac:dyDescent="0.25">
      <c r="B42" s="31" t="s">
        <v>132</v>
      </c>
      <c r="C42" s="3" t="s">
        <v>115</v>
      </c>
      <c r="D42" s="3">
        <v>1</v>
      </c>
      <c r="E42" s="3">
        <v>38</v>
      </c>
      <c r="F42" s="3">
        <f>E42-10</f>
        <v>28</v>
      </c>
      <c r="G42" s="11">
        <f>'Cooling Load'!$F$33</f>
        <v>29.675498504452051</v>
      </c>
      <c r="H42" s="14">
        <f>G42*1.15</f>
        <v>34.126823280119858</v>
      </c>
      <c r="I42" s="14">
        <f>'Cooling Load'!$I$33</f>
        <v>10.031726484018265</v>
      </c>
      <c r="J42" s="110">
        <f>'Cooling Load'!$I$21</f>
        <v>1.6166666666666666E-2</v>
      </c>
      <c r="K42" s="109">
        <f>'Cooling Load'!$I$27</f>
        <v>76.14500000000001</v>
      </c>
      <c r="L42" s="98">
        <f>I42/H42</f>
        <v>0.29395430103985443</v>
      </c>
      <c r="M42" s="97">
        <f>(1-(1-L42))*(1-$D$8)</f>
        <v>0.27925658598786168</v>
      </c>
      <c r="N42" s="43">
        <f>69+15</f>
        <v>84</v>
      </c>
      <c r="O42" s="15">
        <f>-0.00002515*N42^3+0.0100767*N42^2-1.45844836*N42+82.96962576</f>
        <v>16.654653119999992</v>
      </c>
      <c r="P42" s="15">
        <f>$G$21/(O42*1000)</f>
        <v>2.8663968607594453E-3</v>
      </c>
      <c r="Q42" s="15">
        <f>O42</f>
        <v>16.654653119999992</v>
      </c>
      <c r="R42" s="15">
        <f>($I42/Q42)/1000</f>
        <v>6.0233776180973193E-4</v>
      </c>
      <c r="S42" s="24">
        <f>P42-R42+$J42</f>
        <v>1.8430725765616378E-2</v>
      </c>
      <c r="T42" s="16">
        <f>S42/$D42</f>
        <v>1.8430725765616378E-2</v>
      </c>
      <c r="U42" s="14">
        <f>P42*$Q$10</f>
        <v>8.2819160552386162</v>
      </c>
      <c r="V42" s="14">
        <f>R42*$M42*$Q$7*$D$11</f>
        <v>0.58831816091337485</v>
      </c>
      <c r="W42" s="14">
        <f>U42-V42+$K42</f>
        <v>83.838597894325247</v>
      </c>
      <c r="X42" s="44">
        <f>W42/$D42</f>
        <v>83.838597894325247</v>
      </c>
      <c r="Y42" s="43">
        <f>96+15</f>
        <v>111</v>
      </c>
      <c r="Z42" s="15">
        <f>-0.00002515*Y42^3+0.0100767*Y42^2-1.45844836*Y42+82.96962576</f>
        <v>10.840958850000007</v>
      </c>
      <c r="AA42" s="15">
        <f>$G$21/(Z42*1000)</f>
        <v>4.4035630132666214E-3</v>
      </c>
      <c r="AB42" s="15">
        <f>Z42</f>
        <v>10.840958850000007</v>
      </c>
      <c r="AC42" s="15">
        <f>($I42/AB42)/1000</f>
        <v>9.2535417049556079E-4</v>
      </c>
      <c r="AD42" s="24">
        <f>AA42-AC42+$J42</f>
        <v>1.9644875509437727E-2</v>
      </c>
      <c r="AE42" s="16">
        <f>AD42/$D42</f>
        <v>1.9644875509437727E-2</v>
      </c>
      <c r="AF42" s="14">
        <f>AA42*$R$10</f>
        <v>12.81636942180363</v>
      </c>
      <c r="AG42" s="14">
        <f>AC42*$M42*$R$7*$D$11</f>
        <v>0.91042976498808315</v>
      </c>
      <c r="AH42" s="14">
        <f>AF42-AG42+$K42</f>
        <v>88.050939656815558</v>
      </c>
      <c r="AI42" s="44">
        <f>AH42/$D42</f>
        <v>88.050939656815558</v>
      </c>
      <c r="AJ42" s="43">
        <f>89+15</f>
        <v>104</v>
      </c>
      <c r="AK42" s="15">
        <f>-0.00002515*AJ42^3+0.0100767*AJ42^2-1.45844836*AJ42+82.96962576</f>
        <v>11.990253919999972</v>
      </c>
      <c r="AL42" s="15">
        <f>$G$21/(AK42*1000)</f>
        <v>3.9814707627314023E-3</v>
      </c>
      <c r="AM42" s="15">
        <f>AK42</f>
        <v>11.990253919999972</v>
      </c>
      <c r="AN42" s="15">
        <f>($I42/AM42)/1000</f>
        <v>8.3665671727645012E-4</v>
      </c>
      <c r="AO42" s="24">
        <f>AL42-AN42+$J42</f>
        <v>1.9311480712121618E-2</v>
      </c>
      <c r="AP42" s="16">
        <f>AO42/$D42</f>
        <v>1.9311480712121618E-2</v>
      </c>
      <c r="AQ42" s="14">
        <f>AL42*$Q$10</f>
        <v>11.503712931290295</v>
      </c>
      <c r="AR42" s="14">
        <f>AN42*$M42*$S$7*$D$11</f>
        <v>0.83685340562722166</v>
      </c>
      <c r="AS42" s="14">
        <f>AQ42-AR42+$K42</f>
        <v>86.811859525663081</v>
      </c>
      <c r="AT42" s="44">
        <f>AS42/$D42</f>
        <v>86.811859525663081</v>
      </c>
      <c r="AU42" s="43">
        <f>88+15</f>
        <v>103</v>
      </c>
      <c r="AV42" s="15">
        <f>-0.00002515*AU42^3+0.0100767*AU42^2-1.45844836*AU42+82.96962576</f>
        <v>12.171070929999985</v>
      </c>
      <c r="AW42" s="15">
        <f>$G$21/(AV42*1000)</f>
        <v>3.9223208618837241E-3</v>
      </c>
      <c r="AX42" s="15">
        <f>AV42</f>
        <v>12.171070929999985</v>
      </c>
      <c r="AY42" s="15">
        <f>($I42/AX42)/1000</f>
        <v>8.2422709897215899E-4</v>
      </c>
      <c r="AZ42" s="24">
        <f>AW42-AY42+$J42</f>
        <v>1.9264760429578233E-2</v>
      </c>
      <c r="BA42" s="16">
        <f>AZ42/$D42</f>
        <v>1.9264760429578233E-2</v>
      </c>
      <c r="BB42" s="14">
        <f>AW42*$S$10</f>
        <v>11.605598558600567</v>
      </c>
      <c r="BC42" s="14">
        <f>AY42*$M42*$T$7*$D$11</f>
        <v>0.84420351048595355</v>
      </c>
      <c r="BD42" s="14">
        <f>BB42-BC42+$K42</f>
        <v>86.906395048114618</v>
      </c>
      <c r="BE42" s="44">
        <f>BD42/$D42</f>
        <v>86.906395048114618</v>
      </c>
      <c r="BF42" s="43">
        <f>83+15</f>
        <v>98</v>
      </c>
      <c r="BG42" s="15">
        <f>-0.00002515*BF42^3+0.0100767*BF42^2-1.45844836*BF42+82.96962576</f>
        <v>13.147334479999984</v>
      </c>
      <c r="BH42" s="15">
        <f>$G$21/(BG42*1000)</f>
        <v>3.6310664715214227E-3</v>
      </c>
      <c r="BI42" s="15">
        <f>BG42</f>
        <v>13.147334479999984</v>
      </c>
      <c r="BJ42" s="15">
        <f>($I42/BI42)/1000</f>
        <v>7.6302359989994541E-4</v>
      </c>
      <c r="BK42" s="24">
        <f>BH42-BJ42+$J42</f>
        <v>1.9034709538288144E-2</v>
      </c>
      <c r="BL42" s="16">
        <f>BK42/$D42</f>
        <v>1.9034709538288144E-2</v>
      </c>
      <c r="BM42" s="14">
        <f>BH42*$T$10</f>
        <v>11.001624163622187</v>
      </c>
      <c r="BN42" s="14">
        <f>BJ42*$M42*$U$7*$D$11</f>
        <v>0.76537864161932578</v>
      </c>
      <c r="BO42" s="14">
        <f>BM42-BN42+$K42</f>
        <v>86.381245522002871</v>
      </c>
      <c r="BP42" s="44">
        <f>BO42/$D42</f>
        <v>86.381245522002871</v>
      </c>
      <c r="BQ42" s="43">
        <f>84+15</f>
        <v>99</v>
      </c>
      <c r="BR42" s="15">
        <f>-0.00002515*BQ42^3+0.0100767*BQ42^2-1.45844836*BQ42+82.96962576</f>
        <v>12.941954969999969</v>
      </c>
      <c r="BS42" s="15">
        <f>$G$21/(BR42*1000)</f>
        <v>3.6886888828516445E-3</v>
      </c>
      <c r="BT42" s="15">
        <f>BR42</f>
        <v>12.941954969999969</v>
      </c>
      <c r="BU42" s="15">
        <f>($I42/BT42)/1000</f>
        <v>7.7513223522043275E-4</v>
      </c>
      <c r="BV42" s="24">
        <f>BS42-BU42+$J42</f>
        <v>1.908022331429788E-2</v>
      </c>
      <c r="BW42" s="16">
        <f>BV42/$D42</f>
        <v>1.908022331429788E-2</v>
      </c>
      <c r="BX42" s="14">
        <f>BS42*$U$10</f>
        <v>10.945427674996846</v>
      </c>
      <c r="BY42" s="14">
        <f>BU42*$M42*$V$7*$D$11</f>
        <v>0.80440356534985835</v>
      </c>
      <c r="BZ42" s="14">
        <f>BX42-BY42+$K42</f>
        <v>86.286024109647002</v>
      </c>
      <c r="CA42" s="44">
        <f>BZ42/$D42</f>
        <v>86.286024109647002</v>
      </c>
      <c r="CB42" s="43">
        <f>83+15</f>
        <v>98</v>
      </c>
      <c r="CC42" s="15">
        <f>-0.00002515*CB42^3+0.0100767*CB42^2-1.45844836*CB42+82.96962576</f>
        <v>13.147334479999984</v>
      </c>
      <c r="CD42" s="15">
        <f>$G$21/(CC42*1000)</f>
        <v>3.6310664715214227E-3</v>
      </c>
      <c r="CE42" s="15">
        <f>CC42</f>
        <v>13.147334479999984</v>
      </c>
      <c r="CF42" s="15">
        <f>($I42/CE42)/1000</f>
        <v>7.6302359989994541E-4</v>
      </c>
      <c r="CG42" s="24">
        <f>CD42-CF42+$J42</f>
        <v>1.9034709538288144E-2</v>
      </c>
      <c r="CH42" s="16">
        <f>CG42/$D42</f>
        <v>1.9034709538288144E-2</v>
      </c>
      <c r="CI42" s="14">
        <f>CD42*$V$10</f>
        <v>11.146916005743083</v>
      </c>
      <c r="CJ42" s="14">
        <f>CF42*$M42*$W$7*$D$11</f>
        <v>0.80013416025156692</v>
      </c>
      <c r="CK42" s="14">
        <f>CI42-CJ42+$K42</f>
        <v>86.491781845491531</v>
      </c>
      <c r="CL42" s="44">
        <f>CK42/$D42</f>
        <v>86.491781845491531</v>
      </c>
      <c r="CM42" s="43">
        <f>89+15</f>
        <v>104</v>
      </c>
      <c r="CN42" s="15">
        <f>-0.00002515*CM42^3+0.0100767*CM42^2-1.45844836*CM42+82.96962576</f>
        <v>11.990253919999972</v>
      </c>
      <c r="CO42" s="15">
        <f>$G$21/(CN42*1000)</f>
        <v>3.9814707627314023E-3</v>
      </c>
      <c r="CP42" s="15">
        <f>CN42</f>
        <v>11.990253919999972</v>
      </c>
      <c r="CQ42" s="15">
        <f>($I42/CP42)/1000</f>
        <v>8.3665671727645012E-4</v>
      </c>
      <c r="CR42" s="24">
        <f>CO42-CQ42+$J42</f>
        <v>1.9311480712121618E-2</v>
      </c>
      <c r="CS42" s="16">
        <f>CR42/$D42</f>
        <v>1.9311480712121618E-2</v>
      </c>
      <c r="CT42" s="14">
        <f>CO42*$W$10</f>
        <v>12.350675551553147</v>
      </c>
      <c r="CU42" s="14">
        <f>CQ42*$M42*$X$7*$D$11</f>
        <v>0.87350252113605042</v>
      </c>
      <c r="CV42" s="14">
        <f>CT42-CU42+$K42</f>
        <v>87.622173030417102</v>
      </c>
      <c r="CW42" s="44">
        <f>CV42/$D42</f>
        <v>87.622173030417102</v>
      </c>
      <c r="CX42" s="43">
        <f>94+15</f>
        <v>109</v>
      </c>
      <c r="CY42" s="15">
        <f>-0.00002515*CX42^3+0.0100767*CX42^2-1.45844836*CX42+82.96962576</f>
        <v>11.150047869999966</v>
      </c>
      <c r="CZ42" s="15">
        <f>$G$21/(CY42*1000)</f>
        <v>4.2814924184003192E-3</v>
      </c>
      <c r="DA42" s="15">
        <f>CY42</f>
        <v>11.150047869999966</v>
      </c>
      <c r="DB42" s="15">
        <f>($I42/DA42)/1000</f>
        <v>8.9970254845356961E-4</v>
      </c>
      <c r="DC42" s="24">
        <f>CZ42-DB42+$J42</f>
        <v>1.9548456536613416E-2</v>
      </c>
      <c r="DD42" s="16">
        <f>DC42/$D42</f>
        <v>1.9548456536613416E-2</v>
      </c>
      <c r="DE42" s="14">
        <f>CZ42*$X$10</f>
        <v>13.223133437236696</v>
      </c>
      <c r="DF42" s="14">
        <f>DB42*$M42*$Y$7*$D$11</f>
        <v>0.92988006970958181</v>
      </c>
      <c r="DG42" s="14">
        <f>DE42-DF42+$K42</f>
        <v>88.438253367527125</v>
      </c>
      <c r="DH42" s="44">
        <f>DG42/$D42</f>
        <v>88.438253367527125</v>
      </c>
      <c r="DI42" s="43">
        <f>100+15</f>
        <v>115</v>
      </c>
      <c r="DJ42" s="15">
        <f>-0.00002515*DI42^3+0.0100767*DI42^2-1.45844836*DI42+82.96962576</f>
        <v>10.262415609999962</v>
      </c>
      <c r="DK42" s="15">
        <f>$G$21/(DJ42*1000)</f>
        <v>4.6518136893313423E-3</v>
      </c>
      <c r="DL42" s="15">
        <f>DJ42</f>
        <v>10.262415609999962</v>
      </c>
      <c r="DM42" s="15">
        <f>($I42/DL42)/1000</f>
        <v>9.7752097218154876E-4</v>
      </c>
      <c r="DN42" s="24">
        <f>DK42-DM42+$J42</f>
        <v>1.984095938381646E-2</v>
      </c>
      <c r="DO42" s="16">
        <f>DN42/$D42</f>
        <v>1.984095938381646E-2</v>
      </c>
      <c r="DP42" s="14">
        <f>DK42*$Y$10</f>
        <v>14.222391911810622</v>
      </c>
      <c r="DQ42" s="14">
        <f>DM42*$M42*$Z$7*$D$11</f>
        <v>0.99947619572792723</v>
      </c>
      <c r="DR42" s="14">
        <f>DP42-DQ42+$K42</f>
        <v>89.367915716082706</v>
      </c>
      <c r="DS42" s="44">
        <f>DR42/$D42</f>
        <v>89.367915716082706</v>
      </c>
      <c r="DT42" s="43">
        <f>104+15</f>
        <v>119</v>
      </c>
      <c r="DU42" s="15">
        <f>-0.00002515*DT42^3+0.0100767*DT42^2-1.45844836*DT42+82.96962576</f>
        <v>9.7286707699999653</v>
      </c>
      <c r="DV42" s="15">
        <f>$G$21/(DU42*1000)</f>
        <v>4.907026514600169E-3</v>
      </c>
      <c r="DW42" s="15">
        <f>DU42</f>
        <v>9.7286707699999653</v>
      </c>
      <c r="DX42" s="15">
        <f>($I42/DW42)/1000</f>
        <v>1.0311507832038908E-3</v>
      </c>
      <c r="DY42" s="24">
        <f>DV42-DX42+$J42</f>
        <v>2.0042542398062944E-2</v>
      </c>
      <c r="DZ42" s="16">
        <f>DY42/$D42</f>
        <v>2.0042542398062944E-2</v>
      </c>
      <c r="EA42" s="14">
        <f>DV42*$Z$10</f>
        <v>14.84181851148848</v>
      </c>
      <c r="EB42" s="14">
        <f>DX42*$M42*$AA$7*$D$11</f>
        <v>1.0165369187256776</v>
      </c>
      <c r="EC42" s="14">
        <f>EA42-EB42+$K42</f>
        <v>89.970281592762817</v>
      </c>
      <c r="ED42" s="44">
        <f>EC42/$D42</f>
        <v>89.970281592762817</v>
      </c>
      <c r="EE42" s="43">
        <f>100+15</f>
        <v>115</v>
      </c>
      <c r="EF42" s="15">
        <f>-0.00002515*EE42^3+0.0100767*EE42^2-1.45844836*EE42+82.96962576</f>
        <v>10.262415609999962</v>
      </c>
      <c r="EG42" s="15">
        <f>$G$21/(EF42*1000)</f>
        <v>4.6518136893313423E-3</v>
      </c>
      <c r="EH42" s="15">
        <f>EF42</f>
        <v>10.262415609999962</v>
      </c>
      <c r="EI42" s="15">
        <f>($I42/EH42)/1000</f>
        <v>9.7752097218154876E-4</v>
      </c>
      <c r="EJ42" s="24">
        <f>EG42-EI42+$J42</f>
        <v>1.984095938381646E-2</v>
      </c>
      <c r="EK42" s="16">
        <f>EJ42/$D42</f>
        <v>1.984095938381646E-2</v>
      </c>
      <c r="EL42" s="14">
        <f>EG42*$AA$10</f>
        <v>13.565806968120146</v>
      </c>
      <c r="EM42" s="14">
        <f>EI42*$M42*$AB$7*$D$11</f>
        <v>0.97880961802848498</v>
      </c>
      <c r="EN42" s="14">
        <f>EL42-EM42+$K42</f>
        <v>88.731997350091675</v>
      </c>
      <c r="EO42" s="44">
        <f>EN42/$D42</f>
        <v>88.731997350091675</v>
      </c>
      <c r="EP42" s="43">
        <f>101+15</f>
        <v>116</v>
      </c>
      <c r="EQ42" s="15">
        <f>-0.00002515*EP42^3+0.0100767*EP42^2-1.45844836*EP42+82.96962576</f>
        <v>10.125156799999999</v>
      </c>
      <c r="ER42" s="15">
        <f>$G$21/(EQ42*1000)</f>
        <v>4.7148746792943967E-3</v>
      </c>
      <c r="ES42" s="15">
        <f>EQ42</f>
        <v>10.125156799999999</v>
      </c>
      <c r="ET42" s="15">
        <f>($I42/ES42)/1000</f>
        <v>9.9077245737253807E-4</v>
      </c>
      <c r="EU42" s="24">
        <f>ER42-ET42+$J42</f>
        <v>1.9890768888588525E-2</v>
      </c>
      <c r="EV42" s="16">
        <f>EU42/$D42</f>
        <v>1.9890768888588525E-2</v>
      </c>
      <c r="EW42" s="14">
        <f>ER42*$AB$10</f>
        <v>13.965762069797471</v>
      </c>
      <c r="EX42" s="14">
        <f>ET42*$M42*$AC$7*$D$11</f>
        <v>1.0149120911321947</v>
      </c>
      <c r="EY42" s="14">
        <f>EW42-EX42+$K42</f>
        <v>89.095849978665285</v>
      </c>
      <c r="EZ42" s="44">
        <f>EY42/$D42</f>
        <v>89.095849978665285</v>
      </c>
      <c r="FA42" s="43">
        <f>108+15</f>
        <v>123</v>
      </c>
      <c r="FB42" s="15">
        <f>-0.00002515*FA42^3+0.0100767*FA42^2-1.45844836*FA42+82.96962576</f>
        <v>9.2300667299999901</v>
      </c>
      <c r="FC42" s="15">
        <f>$G$21/(FB42*1000)</f>
        <v>5.1721018727895517E-3</v>
      </c>
      <c r="FD42" s="15">
        <f>FB42</f>
        <v>9.2300667299999901</v>
      </c>
      <c r="FE42" s="15">
        <f>($I42/FD42)/1000</f>
        <v>1.0868530832407401E-3</v>
      </c>
      <c r="FF42" s="24">
        <f>FC42-FE42+$J42</f>
        <v>2.0251915456215477E-2</v>
      </c>
      <c r="FG42" s="16">
        <f>FF42/$D42</f>
        <v>2.0251915456215477E-2</v>
      </c>
      <c r="FH42" s="14">
        <f>FC42*$AC$10</f>
        <v>15.672703315461211</v>
      </c>
      <c r="FI42" s="14">
        <f>FE42*$M42*$AD$7*$D$11</f>
        <v>1.1011528543292559</v>
      </c>
      <c r="FJ42" s="14">
        <f>FH42-FI42+$K42</f>
        <v>90.716550461131959</v>
      </c>
      <c r="FK42" s="44">
        <f>FJ42/$D42</f>
        <v>90.716550461131959</v>
      </c>
      <c r="FL42" s="43">
        <f>111+15</f>
        <v>126</v>
      </c>
      <c r="FM42" s="15">
        <f>-0.00002515*FL42^3+0.0100767*FL42^2-1.45844836*FL42+82.96962576</f>
        <v>8.873365199999995</v>
      </c>
      <c r="FN42" s="15">
        <f>$G$21/(FM42*1000)</f>
        <v>5.3800158501540662E-3</v>
      </c>
      <c r="FO42" s="15">
        <f>FM42</f>
        <v>8.873365199999995</v>
      </c>
      <c r="FP42" s="15">
        <f>($I42/FO42)/1000</f>
        <v>1.1305436278018029E-3</v>
      </c>
      <c r="FQ42" s="24">
        <f>FN42-FP42+$J42</f>
        <v>2.0416138889018928E-2</v>
      </c>
      <c r="FR42" s="16">
        <f>FQ42/$D42</f>
        <v>2.0416138889018928E-2</v>
      </c>
      <c r="FS42" s="14">
        <f>FN42*$AD$10</f>
        <v>16.124366573823188</v>
      </c>
      <c r="FT42" s="14">
        <f>FP42*$M42*$AE$7*$D$11</f>
        <v>1.263952006379389</v>
      </c>
      <c r="FU42" s="14">
        <f>FS42-FT42+$K42</f>
        <v>91.005414567443808</v>
      </c>
      <c r="FV42" s="44">
        <f>FU42/$D42</f>
        <v>91.005414567443808</v>
      </c>
      <c r="FW42" s="43">
        <f>89+15</f>
        <v>104</v>
      </c>
      <c r="FX42" s="15">
        <f>-0.00002515*FW42^3+0.0100767*FW42^2-1.45844836*FW42+82.96962576</f>
        <v>11.990253919999972</v>
      </c>
      <c r="FY42" s="15">
        <f>$G$21/(FX42*1000)</f>
        <v>3.9814707627314023E-3</v>
      </c>
      <c r="FZ42" s="15">
        <f>FX42</f>
        <v>11.990253919999972</v>
      </c>
      <c r="GA42" s="15">
        <f>($I42/FZ42)/1000</f>
        <v>8.3665671727645012E-4</v>
      </c>
      <c r="GB42" s="24">
        <f>FY42-GA42+$J42</f>
        <v>1.9311480712121618E-2</v>
      </c>
      <c r="GC42" s="16">
        <f>GB42/$D42</f>
        <v>1.9311480712121618E-2</v>
      </c>
      <c r="GD42" s="14">
        <f>FY42*$AE$10</f>
        <v>13.167675903187313</v>
      </c>
      <c r="GE42" s="14">
        <f>GA42*$M42*$AF$7*$D$11</f>
        <v>0.78175976092938493</v>
      </c>
      <c r="GF42" s="14">
        <f>GD42-GE42+$K42</f>
        <v>88.530916142257936</v>
      </c>
      <c r="GG42" s="44">
        <f>GF42/$D42</f>
        <v>88.530916142257936</v>
      </c>
    </row>
    <row r="43" spans="2:202" ht="13.8" hidden="1" x14ac:dyDescent="0.25">
      <c r="B43" s="31" t="s">
        <v>133</v>
      </c>
      <c r="C43" s="3" t="s">
        <v>115</v>
      </c>
      <c r="D43" s="3">
        <v>1</v>
      </c>
      <c r="E43" s="3">
        <v>0</v>
      </c>
      <c r="F43" s="3">
        <f>E43-10</f>
        <v>-10</v>
      </c>
      <c r="G43" s="11">
        <f>'Cooling Load'!$F$33</f>
        <v>29.675498504452051</v>
      </c>
      <c r="H43" s="14">
        <f>G43*1.15</f>
        <v>34.126823280119858</v>
      </c>
      <c r="I43" s="14">
        <f>'Cooling Load'!$I$33</f>
        <v>10.031726484018265</v>
      </c>
      <c r="J43" s="110">
        <f>'Cooling Load'!$I$21</f>
        <v>1.6166666666666666E-2</v>
      </c>
      <c r="K43" s="109">
        <f>'Cooling Load'!$I$27</f>
        <v>76.14500000000001</v>
      </c>
      <c r="L43" s="98">
        <f>I43/H43</f>
        <v>0.29395430103985443</v>
      </c>
      <c r="M43" s="97">
        <f>(1-(1-L43))*(1-$E$8)</f>
        <v>0.26455887093586899</v>
      </c>
      <c r="N43" s="43">
        <f>69+10</f>
        <v>79</v>
      </c>
      <c r="O43" s="15">
        <f>0.00000491*N43^3-0.00107023*N43^2-0.03013591*N43+15.74788397</f>
        <v>9.1086631400000009</v>
      </c>
      <c r="P43" s="15">
        <f>$G$22/(O43*1000)</f>
        <v>5.2410375360752966E-3</v>
      </c>
      <c r="Q43" s="15">
        <f>O43</f>
        <v>9.1086631400000009</v>
      </c>
      <c r="R43" s="15">
        <f>($I43/Q43)/1000</f>
        <v>1.1013390581944677E-3</v>
      </c>
      <c r="S43" s="24">
        <f>P43-R43+$J43</f>
        <v>2.0306365144547495E-2</v>
      </c>
      <c r="T43" s="16">
        <f>S43/$D43</f>
        <v>2.0306365144547495E-2</v>
      </c>
      <c r="U43" s="14">
        <f>P43*$Q$11</f>
        <v>14.345995126206512</v>
      </c>
      <c r="V43" s="14">
        <f>R43*$M43*$Q$7*$E$11</f>
        <v>1.0190889901357352</v>
      </c>
      <c r="W43" s="14">
        <f>U43-V43+$K43</f>
        <v>89.471906136070785</v>
      </c>
      <c r="X43" s="44">
        <f>W43/$D43</f>
        <v>89.471906136070785</v>
      </c>
      <c r="Y43" s="43">
        <f>96+10</f>
        <v>106</v>
      </c>
      <c r="Z43" s="15">
        <f>0.00000491*Y43^3-0.00107023*Y43^2-0.03013591*Y43+15.74788397</f>
        <v>6.3762617900000009</v>
      </c>
      <c r="AA43" s="15">
        <f>$G$22/(Z43*1000)</f>
        <v>7.4869644616968392E-3</v>
      </c>
      <c r="AB43" s="15">
        <f>Z43</f>
        <v>6.3762617900000009</v>
      </c>
      <c r="AC43" s="15">
        <f>($I43/AB43)/1000</f>
        <v>1.5732927559140044E-3</v>
      </c>
      <c r="AD43" s="24">
        <f>AA43-AC43+$J43</f>
        <v>2.20803383724495E-2</v>
      </c>
      <c r="AE43" s="16">
        <f>AD43/$D43</f>
        <v>2.20803383724495E-2</v>
      </c>
      <c r="AF43" s="14">
        <f>AA43*$R$11</f>
        <v>20.643602008058707</v>
      </c>
      <c r="AG43" s="14">
        <f>AC43*$M43*$R$7*$E$11</f>
        <v>1.466448812932194</v>
      </c>
      <c r="AH43" s="14">
        <f>AF43-AG43+$K43</f>
        <v>95.322153195126532</v>
      </c>
      <c r="AI43" s="44">
        <f>AH43/$D43</f>
        <v>95.322153195126532</v>
      </c>
      <c r="AJ43" s="43">
        <f>89+10</f>
        <v>99</v>
      </c>
      <c r="AK43" s="15">
        <f>0.00000491*AJ43^3-0.00107023*AJ43^2-0.03013591*AJ43+15.74788397</f>
        <v>7.0392727400000012</v>
      </c>
      <c r="AL43" s="15">
        <f>$G$22/(AK43*1000)</f>
        <v>6.7817865827152863E-3</v>
      </c>
      <c r="AM43" s="15">
        <f>AK43</f>
        <v>7.0392727400000012</v>
      </c>
      <c r="AN43" s="15">
        <f>($I43/AM43)/1000</f>
        <v>1.4251083676604726E-3</v>
      </c>
      <c r="AO43" s="24">
        <f>AL43-AN43+$J43</f>
        <v>2.152334488172148E-2</v>
      </c>
      <c r="AP43" s="16">
        <f>AO43/$D43</f>
        <v>2.152334488172148E-2</v>
      </c>
      <c r="AQ43" s="14">
        <f>AL43*$Q$11</f>
        <v>18.563400203285333</v>
      </c>
      <c r="AR43" s="14">
        <f>AN43*$M43*$S$7*$E$11</f>
        <v>1.3504200576741918</v>
      </c>
      <c r="AS43" s="14">
        <f>AQ43-AR43+$K43</f>
        <v>93.357980145611151</v>
      </c>
      <c r="AT43" s="44">
        <f>AS43/$D43</f>
        <v>93.357980145611151</v>
      </c>
      <c r="AU43" s="43">
        <f>88+10</f>
        <v>98</v>
      </c>
      <c r="AV43" s="15">
        <f>0.00000491*AU43^3-0.00107023*AU43^2-0.03013591*AU43+15.74788397</f>
        <v>7.137328590000001</v>
      </c>
      <c r="AW43" s="15">
        <f>$G$22/(AV43*1000)</f>
        <v>6.6886153297035572E-3</v>
      </c>
      <c r="AX43" s="15">
        <f>AV43</f>
        <v>7.137328590000001</v>
      </c>
      <c r="AY43" s="15">
        <f>($I43/AX43)/1000</f>
        <v>1.4055295840062008E-3</v>
      </c>
      <c r="AZ43" s="24">
        <f>AW43-AY43+$J43</f>
        <v>2.144975241236402E-2</v>
      </c>
      <c r="BA43" s="16">
        <f>AZ43/$D43</f>
        <v>2.144975241236402E-2</v>
      </c>
      <c r="BB43" s="14">
        <f>AW43*$S$11</f>
        <v>18.749062218536924</v>
      </c>
      <c r="BC43" s="14">
        <f>AY43*$M43*$T$7*$E$11</f>
        <v>1.3638266103456378</v>
      </c>
      <c r="BD43" s="14">
        <f>BB43-BC43+$K43</f>
        <v>93.530235608191305</v>
      </c>
      <c r="BE43" s="44">
        <f>BD43/$D43</f>
        <v>93.530235608191305</v>
      </c>
      <c r="BF43" s="43">
        <f>83+10</f>
        <v>93</v>
      </c>
      <c r="BG43" s="15">
        <f>0.00000491*BF43^3-0.00107023*BF43^2-0.03013591*BF43+15.74788397</f>
        <v>7.6382179400000023</v>
      </c>
      <c r="BH43" s="15">
        <f>$G$22/(BG43*1000)</f>
        <v>6.2499978129984422E-3</v>
      </c>
      <c r="BI43" s="15">
        <f>BG43</f>
        <v>7.6382179400000023</v>
      </c>
      <c r="BJ43" s="15">
        <f>($I43/BI43)/1000</f>
        <v>1.3133595509868708E-3</v>
      </c>
      <c r="BK43" s="24">
        <f>BH43-BJ43+$J43</f>
        <v>2.1103304928678238E-2</v>
      </c>
      <c r="BL43" s="16">
        <f>BK43/$D43</f>
        <v>2.1103304928678238E-2</v>
      </c>
      <c r="BM43" s="14">
        <f>BH43*$T$11</f>
        <v>17.939956049369705</v>
      </c>
      <c r="BN43" s="14">
        <f>BJ43*$M43*$U$7*$E$11</f>
        <v>1.2480756466103664</v>
      </c>
      <c r="BO43" s="14">
        <f>BM43-BN43+$K43</f>
        <v>92.836880402759348</v>
      </c>
      <c r="BP43" s="44">
        <f>BO43/$D43</f>
        <v>92.836880402759348</v>
      </c>
      <c r="BQ43" s="43">
        <f>84+10</f>
        <v>94</v>
      </c>
      <c r="BR43" s="15">
        <f>0.00000491*BQ43^3-0.00107023*BQ43^2-0.03013591*BQ43+15.74788397</f>
        <v>7.5367235900000029</v>
      </c>
      <c r="BS43" s="15">
        <f>$G$22/(BR43*1000)</f>
        <v>6.3341642890482408E-3</v>
      </c>
      <c r="BT43" s="15">
        <f>BR43</f>
        <v>7.5367235900000029</v>
      </c>
      <c r="BU43" s="15">
        <f>($I43/BT43)/1000</f>
        <v>1.3310460924066156E-3</v>
      </c>
      <c r="BV43" s="24">
        <f>BS43-BU43+$J43</f>
        <v>2.116978486330829E-2</v>
      </c>
      <c r="BW43" s="16">
        <f>BV43/$D43</f>
        <v>2.116978486330829E-2</v>
      </c>
      <c r="BX43" s="14">
        <f>BS43*$U$11</f>
        <v>17.806105260889503</v>
      </c>
      <c r="BY43" s="14">
        <f>BU43*$M43*$V$7*$E$11</f>
        <v>1.3086098581212824</v>
      </c>
      <c r="BZ43" s="14">
        <f>BX43-BY43+$K43</f>
        <v>92.642495402768233</v>
      </c>
      <c r="CA43" s="44">
        <f>BZ43/$D43</f>
        <v>92.642495402768233</v>
      </c>
      <c r="CB43" s="43">
        <f>83+10</f>
        <v>93</v>
      </c>
      <c r="CC43" s="15">
        <f>0.00000491*CB43^3-0.00107023*CB43^2-0.03013591*CB43+15.74788397</f>
        <v>7.6382179400000023</v>
      </c>
      <c r="CD43" s="15">
        <f>$G$22/(CC43*1000)</f>
        <v>6.2499978129984422E-3</v>
      </c>
      <c r="CE43" s="15">
        <f>CC43</f>
        <v>7.6382179400000023</v>
      </c>
      <c r="CF43" s="15">
        <f>($I43/CE43)/1000</f>
        <v>1.3133595509868708E-3</v>
      </c>
      <c r="CG43" s="24">
        <f>CD43-CF43+$J43</f>
        <v>2.1103304928678238E-2</v>
      </c>
      <c r="CH43" s="16">
        <f>CG43/$D43</f>
        <v>2.1103304928678238E-2</v>
      </c>
      <c r="CI43" s="14">
        <f>CD43*$V$11</f>
        <v>18.176878273144585</v>
      </c>
      <c r="CJ43" s="14">
        <f>CF43*$M43*$W$7*$E$11</f>
        <v>1.304750230968297</v>
      </c>
      <c r="CK43" s="14">
        <f>CI43-CJ43+$K43</f>
        <v>93.017128042176296</v>
      </c>
      <c r="CL43" s="44">
        <f>CK43/$D43</f>
        <v>93.017128042176296</v>
      </c>
      <c r="CM43" s="43">
        <f>89+10</f>
        <v>99</v>
      </c>
      <c r="CN43" s="15">
        <f>0.00000491*CM43^3-0.00107023*CM43^2-0.03013591*CM43+15.74788397</f>
        <v>7.0392727400000012</v>
      </c>
      <c r="CO43" s="15">
        <f>$G$22/(CN43*1000)</f>
        <v>6.7817865827152863E-3</v>
      </c>
      <c r="CP43" s="15">
        <f>CN43</f>
        <v>7.0392727400000012</v>
      </c>
      <c r="CQ43" s="15">
        <f>($I43/CP43)/1000</f>
        <v>1.4251083676604726E-3</v>
      </c>
      <c r="CR43" s="24">
        <f>CO43-CQ43+$J43</f>
        <v>2.152334488172148E-2</v>
      </c>
      <c r="CS43" s="16">
        <f>CR43/$D43</f>
        <v>2.152334488172148E-2</v>
      </c>
      <c r="CT43" s="14">
        <f>CO43*$W$11</f>
        <v>19.930133376398253</v>
      </c>
      <c r="CU43" s="14">
        <f>CQ43*$M43*$X$7*$E$11</f>
        <v>1.4095602850382027</v>
      </c>
      <c r="CV43" s="14">
        <f>CT43-CU43+$K43</f>
        <v>94.665573091360059</v>
      </c>
      <c r="CW43" s="44">
        <f>CV43/$D43</f>
        <v>94.665573091360059</v>
      </c>
      <c r="CX43" s="43">
        <f>94+10</f>
        <v>104</v>
      </c>
      <c r="CY43" s="15">
        <f>0.00000491*CX43^3-0.00107023*CX43^2-0.03013591*CX43+15.74788397</f>
        <v>6.5612238900000026</v>
      </c>
      <c r="CZ43" s="15">
        <f>$G$22/(CY43*1000)</f>
        <v>7.2759055658753718E-3</v>
      </c>
      <c r="DA43" s="15">
        <f>CY43</f>
        <v>6.5612238900000026</v>
      </c>
      <c r="DB43" s="15">
        <f>($I43/DA43)/1000</f>
        <v>1.5289413457308893E-3</v>
      </c>
      <c r="DC43" s="24">
        <f>CZ43-DB43+$J43</f>
        <v>2.1913630886811149E-2</v>
      </c>
      <c r="DD43" s="16">
        <f>DC43/$D43</f>
        <v>2.1913630886811149E-2</v>
      </c>
      <c r="DE43" s="14">
        <f>CZ43*$X$11</f>
        <v>21.288504763516915</v>
      </c>
      <c r="DF43" s="14">
        <f>DB43*$M43*$Y$7*$E$11</f>
        <v>1.49705486883816</v>
      </c>
      <c r="DG43" s="14">
        <f>DE43-DF43+$K43</f>
        <v>95.936449894678759</v>
      </c>
      <c r="DH43" s="44">
        <f>DG43/$D43</f>
        <v>95.936449894678759</v>
      </c>
      <c r="DI43" s="43">
        <f>100+10</f>
        <v>110</v>
      </c>
      <c r="DJ43" s="15">
        <f>0.00000491*DI43^3-0.00107023*DI43^2-0.03013591*DI43+15.74788397</f>
        <v>6.0183608700000022</v>
      </c>
      <c r="DK43" s="15">
        <f>$G$22/(DJ43*1000)</f>
        <v>7.9322005528401386E-3</v>
      </c>
      <c r="DL43" s="15">
        <f>DJ43</f>
        <v>6.0183608700000022</v>
      </c>
      <c r="DM43" s="15">
        <f>($I43/DL43)/1000</f>
        <v>1.6668536002923768E-3</v>
      </c>
      <c r="DN43" s="24">
        <f>DK43-DM43+$J43</f>
        <v>2.2432013619214427E-2</v>
      </c>
      <c r="DO43" s="16">
        <f>DN43/$D43</f>
        <v>2.2432013619214427E-2</v>
      </c>
      <c r="DP43" s="14">
        <f>DK43*$Y$11</f>
        <v>22.975391460273876</v>
      </c>
      <c r="DQ43" s="14">
        <f>DM43*$M43*$Z$7*$E$11</f>
        <v>1.6145917644840819</v>
      </c>
      <c r="DR43" s="14">
        <f>DP43-DQ43+$K43</f>
        <v>97.505799695789804</v>
      </c>
      <c r="DS43" s="44">
        <f>DR43/$D43</f>
        <v>97.505799695789804</v>
      </c>
      <c r="DT43" s="43">
        <f>104+10</f>
        <v>114</v>
      </c>
      <c r="DU43" s="15">
        <f>0.00000491*DT43^3-0.00107023*DT43^2-0.03013591*DT43+15.74788397</f>
        <v>5.6780621900000021</v>
      </c>
      <c r="DV43" s="15">
        <f>$G$22/(DU43*1000)</f>
        <v>8.4075946727532151E-3</v>
      </c>
      <c r="DW43" s="15">
        <f>DU43</f>
        <v>5.6780621900000021</v>
      </c>
      <c r="DX43" s="15">
        <f>($I43/DW43)/1000</f>
        <v>1.7667517805081069E-3</v>
      </c>
      <c r="DY43" s="24">
        <f>DV43-DX43+$J43</f>
        <v>2.2807509558911775E-2</v>
      </c>
      <c r="DZ43" s="16">
        <f>DY43/$D43</f>
        <v>2.2807509558911775E-2</v>
      </c>
      <c r="EA43" s="14">
        <f>DV43*$Z$11</f>
        <v>24.091252666890295</v>
      </c>
      <c r="EB43" s="14">
        <f>DX43*$M43*$AA$7*$E$11</f>
        <v>1.6500436072093141</v>
      </c>
      <c r="EC43" s="14">
        <f>EA43-EB43+$K43</f>
        <v>98.586209059680982</v>
      </c>
      <c r="ED43" s="44">
        <f>EC43/$D43</f>
        <v>98.586209059680982</v>
      </c>
      <c r="EE43" s="43">
        <f>100+10</f>
        <v>110</v>
      </c>
      <c r="EF43" s="15">
        <f>0.00000491*EE43^3-0.00107023*EE43^2-0.03013591*EE43+15.74788397</f>
        <v>6.0183608700000022</v>
      </c>
      <c r="EG43" s="15">
        <f>$G$22/(EF43*1000)</f>
        <v>7.9322005528401386E-3</v>
      </c>
      <c r="EH43" s="15">
        <f>EF43</f>
        <v>6.0183608700000022</v>
      </c>
      <c r="EI43" s="15">
        <f>($I43/EH43)/1000</f>
        <v>1.6668536002923768E-3</v>
      </c>
      <c r="EJ43" s="24">
        <f>EG43-EI43+$J43</f>
        <v>2.2432013619214427E-2</v>
      </c>
      <c r="EK43" s="16">
        <f>EJ43/$D43</f>
        <v>2.2432013619214427E-2</v>
      </c>
      <c r="EL43" s="14">
        <f>EG43*$AA$11</f>
        <v>21.914719232863003</v>
      </c>
      <c r="EM43" s="14">
        <f>EI43*$M43*$AB$7*$E$11</f>
        <v>1.5812061908243835</v>
      </c>
      <c r="EN43" s="14">
        <f>EL43-EM43+$K43</f>
        <v>96.478513042038628</v>
      </c>
      <c r="EO43" s="44">
        <f>EN43/$D43</f>
        <v>96.478513042038628</v>
      </c>
      <c r="EP43" s="43">
        <f>101+10</f>
        <v>111</v>
      </c>
      <c r="EQ43" s="15">
        <f>0.00000491*EP43^3-0.00107023*EP43^2-0.03013591*EP43+15.74788397</f>
        <v>5.9315623400000028</v>
      </c>
      <c r="ER43" s="15">
        <f>$G$22/(EQ43*1000)</f>
        <v>8.0482750890561242E-3</v>
      </c>
      <c r="ES43" s="15">
        <f>EQ43</f>
        <v>5.9315623400000028</v>
      </c>
      <c r="ET43" s="15">
        <f>($I43/ES43)/1000</f>
        <v>1.6912452249500018E-3</v>
      </c>
      <c r="EU43" s="24">
        <f>ER43-ET43+$J43</f>
        <v>2.252369653077279E-2</v>
      </c>
      <c r="EV43" s="16">
        <f>EU43/$D43</f>
        <v>2.252369653077279E-2</v>
      </c>
      <c r="EW43" s="14">
        <f>ER43*$AB$11</f>
        <v>22.584797520802699</v>
      </c>
      <c r="EX43" s="14">
        <f>ET43*$M43*$AC$7*$E$11</f>
        <v>1.6412698401332191</v>
      </c>
      <c r="EY43" s="14">
        <f>EW43-EX43+$K43</f>
        <v>97.088527680669486</v>
      </c>
      <c r="EZ43" s="44">
        <f>EY43/$D43</f>
        <v>97.088527680669486</v>
      </c>
      <c r="FA43" s="43">
        <f>108+10</f>
        <v>118</v>
      </c>
      <c r="FB43" s="15">
        <f>0.00000491*FA43^3-0.00107023*FA43^2-0.03013591*FA43+15.74788397</f>
        <v>5.357251190000003</v>
      </c>
      <c r="FC43" s="15">
        <f>$G$22/(FB43*1000)</f>
        <v>8.9110709442402417E-3</v>
      </c>
      <c r="FD43" s="15">
        <f>FB43</f>
        <v>5.357251190000003</v>
      </c>
      <c r="FE43" s="15">
        <f>($I43/FD43)/1000</f>
        <v>1.8725510767058618E-3</v>
      </c>
      <c r="FF43" s="24">
        <f>FC43-FE43+$J43</f>
        <v>2.3205186534201047E-2</v>
      </c>
      <c r="FG43" s="16">
        <f>FF43/$D43</f>
        <v>2.3205186534201047E-2</v>
      </c>
      <c r="FH43" s="14">
        <f>FC43*$AC$11</f>
        <v>25.581478866998683</v>
      </c>
      <c r="FI43" s="14">
        <f>FE43*$M43*$AD$7*$E$11</f>
        <v>1.7973362926209506</v>
      </c>
      <c r="FJ43" s="14">
        <f>FH43-FI43+$K43</f>
        <v>99.929142574377749</v>
      </c>
      <c r="FK43" s="44">
        <f>FJ43/$D43</f>
        <v>99.929142574377749</v>
      </c>
      <c r="FL43" s="43">
        <f>111+10</f>
        <v>121</v>
      </c>
      <c r="FM43" s="15">
        <f>0.00000491*FL43^3-0.00107023*FL43^2-0.03013591*FL43+15.74788397</f>
        <v>5.1305659400000021</v>
      </c>
      <c r="FN43" s="15">
        <f>$G$22/(FM43*1000)</f>
        <v>9.3047913190265827E-3</v>
      </c>
      <c r="FO43" s="15">
        <f>FM43</f>
        <v>5.1305659400000021</v>
      </c>
      <c r="FP43" s="15">
        <f>($I43/FO43)/1000</f>
        <v>1.9552865319996766E-3</v>
      </c>
      <c r="FQ43" s="24">
        <f>FN43-FP43+$J43</f>
        <v>2.3516171453693571E-2</v>
      </c>
      <c r="FR43" s="16">
        <f>FQ43/$D43</f>
        <v>2.3516171453693571E-2</v>
      </c>
      <c r="FS43" s="14">
        <f>FN43*$AD$11</f>
        <v>26.419503363976215</v>
      </c>
      <c r="FT43" s="14">
        <f>FP43*$M43*$AE$7*$E$11</f>
        <v>2.0709640984381981</v>
      </c>
      <c r="FU43" s="14">
        <f>FS43-FT43+$K43</f>
        <v>100.49353926553803</v>
      </c>
      <c r="FV43" s="44">
        <f>FU43/$D43</f>
        <v>100.49353926553803</v>
      </c>
      <c r="FW43" s="43">
        <f>89+10</f>
        <v>99</v>
      </c>
      <c r="FX43" s="15">
        <f>0.00000491*FW43^3-0.00107023*FW43^2-0.03013591*FW43+15.74788397</f>
        <v>7.0392727400000012</v>
      </c>
      <c r="FY43" s="15">
        <f>$G$22/(FX43*1000)</f>
        <v>6.7817865827152863E-3</v>
      </c>
      <c r="FZ43" s="15">
        <f>FX43</f>
        <v>7.0392727400000012</v>
      </c>
      <c r="GA43" s="15">
        <f>($I43/FZ43)/1000</f>
        <v>1.4251083676604726E-3</v>
      </c>
      <c r="GB43" s="24">
        <f>FY43-GA43+$J43</f>
        <v>2.152334488172148E-2</v>
      </c>
      <c r="GC43" s="16">
        <f>GB43/$D43</f>
        <v>2.152334488172148E-2</v>
      </c>
      <c r="GD43" s="14">
        <f>FY43*$AE$11</f>
        <v>21.248516804791816</v>
      </c>
      <c r="GE43" s="14">
        <f>GA43*$M43*$AF$7*$E$11</f>
        <v>1.2615161201983425</v>
      </c>
      <c r="GF43" s="14">
        <f>GD43-GE43+$K43</f>
        <v>96.132000684593478</v>
      </c>
      <c r="GG43" s="44">
        <f>GF43/$D43</f>
        <v>96.132000684593478</v>
      </c>
    </row>
    <row r="44" spans="2:202" ht="14.4" hidden="1" x14ac:dyDescent="0.3">
      <c r="B44" s="30" t="s">
        <v>114</v>
      </c>
      <c r="C44" s="7"/>
      <c r="D44" s="7"/>
      <c r="E44" s="7"/>
      <c r="F44" s="3"/>
      <c r="G44" s="3"/>
      <c r="H44" s="8"/>
      <c r="I44" s="12"/>
      <c r="J44" s="111"/>
      <c r="K44" s="108"/>
      <c r="L44" s="98"/>
      <c r="M44" s="97"/>
      <c r="N44" s="45"/>
      <c r="O44" s="22"/>
      <c r="P44" s="15"/>
      <c r="Q44" s="22"/>
      <c r="R44" s="15"/>
      <c r="S44" s="24"/>
      <c r="T44" s="16"/>
      <c r="U44" s="14"/>
      <c r="V44" s="14"/>
      <c r="W44" s="14"/>
      <c r="X44" s="44"/>
      <c r="Y44" s="45"/>
      <c r="Z44" s="22"/>
      <c r="AA44" s="15"/>
      <c r="AB44" s="22"/>
      <c r="AC44" s="15"/>
      <c r="AD44" s="24"/>
      <c r="AE44" s="16"/>
      <c r="AF44" s="14"/>
      <c r="AG44" s="14"/>
      <c r="AH44" s="14"/>
      <c r="AI44" s="44"/>
      <c r="AJ44" s="45"/>
      <c r="AK44" s="22"/>
      <c r="AL44" s="15"/>
      <c r="AM44" s="22"/>
      <c r="AN44" s="15"/>
      <c r="AO44" s="24"/>
      <c r="AP44" s="16"/>
      <c r="AQ44" s="14"/>
      <c r="AR44" s="14"/>
      <c r="AS44" s="14"/>
      <c r="AT44" s="44"/>
      <c r="AU44" s="45"/>
      <c r="AV44" s="22"/>
      <c r="AW44" s="15"/>
      <c r="AX44" s="22"/>
      <c r="AY44" s="15"/>
      <c r="AZ44" s="24"/>
      <c r="BA44" s="16"/>
      <c r="BB44" s="14"/>
      <c r="BC44" s="14"/>
      <c r="BD44" s="14"/>
      <c r="BE44" s="44"/>
      <c r="BF44" s="45"/>
      <c r="BG44" s="22"/>
      <c r="BH44" s="15"/>
      <c r="BI44" s="22"/>
      <c r="BJ44" s="15"/>
      <c r="BK44" s="24"/>
      <c r="BL44" s="16"/>
      <c r="BM44" s="14"/>
      <c r="BN44" s="14"/>
      <c r="BO44" s="14"/>
      <c r="BP44" s="44"/>
      <c r="BQ44" s="45"/>
      <c r="BR44" s="22"/>
      <c r="BS44" s="15"/>
      <c r="BT44" s="22"/>
      <c r="BU44" s="15"/>
      <c r="BV44" s="24"/>
      <c r="BW44" s="16"/>
      <c r="BX44" s="14"/>
      <c r="BY44" s="14"/>
      <c r="BZ44" s="14"/>
      <c r="CA44" s="44"/>
      <c r="CB44" s="45"/>
      <c r="CC44" s="22"/>
      <c r="CD44" s="15"/>
      <c r="CE44" s="22"/>
      <c r="CF44" s="15"/>
      <c r="CG44" s="24"/>
      <c r="CH44" s="16"/>
      <c r="CI44" s="14"/>
      <c r="CJ44" s="14"/>
      <c r="CK44" s="14"/>
      <c r="CL44" s="44"/>
      <c r="CM44" s="45"/>
      <c r="CN44" s="22"/>
      <c r="CO44" s="15"/>
      <c r="CP44" s="22"/>
      <c r="CQ44" s="15"/>
      <c r="CR44" s="24"/>
      <c r="CS44" s="16"/>
      <c r="CT44" s="14"/>
      <c r="CU44" s="14"/>
      <c r="CV44" s="14"/>
      <c r="CW44" s="44"/>
      <c r="CX44" s="45"/>
      <c r="CY44" s="22"/>
      <c r="CZ44" s="15"/>
      <c r="DA44" s="22"/>
      <c r="DB44" s="15"/>
      <c r="DC44" s="24"/>
      <c r="DD44" s="16"/>
      <c r="DE44" s="14"/>
      <c r="DF44" s="14"/>
      <c r="DG44" s="14"/>
      <c r="DH44" s="44"/>
      <c r="DI44" s="45"/>
      <c r="DJ44" s="22"/>
      <c r="DK44" s="15"/>
      <c r="DL44" s="22"/>
      <c r="DM44" s="15"/>
      <c r="DN44" s="24"/>
      <c r="DO44" s="16"/>
      <c r="DP44" s="14"/>
      <c r="DQ44" s="14"/>
      <c r="DR44" s="14"/>
      <c r="DS44" s="44"/>
      <c r="DT44" s="45"/>
      <c r="DU44" s="22"/>
      <c r="DV44" s="15"/>
      <c r="DW44" s="22"/>
      <c r="DX44" s="15"/>
      <c r="DY44" s="24"/>
      <c r="DZ44" s="16"/>
      <c r="EA44" s="14"/>
      <c r="EB44" s="14"/>
      <c r="EC44" s="14"/>
      <c r="ED44" s="44"/>
      <c r="EE44" s="45"/>
      <c r="EF44" s="22"/>
      <c r="EG44" s="15"/>
      <c r="EH44" s="22"/>
      <c r="EI44" s="15"/>
      <c r="EJ44" s="24"/>
      <c r="EK44" s="16"/>
      <c r="EL44" s="14"/>
      <c r="EM44" s="14"/>
      <c r="EN44" s="14"/>
      <c r="EO44" s="44"/>
      <c r="EP44" s="45"/>
      <c r="EQ44" s="22"/>
      <c r="ER44" s="15"/>
      <c r="ES44" s="22"/>
      <c r="ET44" s="15"/>
      <c r="EU44" s="24"/>
      <c r="EV44" s="16"/>
      <c r="EW44" s="14"/>
      <c r="EX44" s="14"/>
      <c r="EY44" s="14"/>
      <c r="EZ44" s="44"/>
      <c r="FA44" s="45"/>
      <c r="FB44" s="22"/>
      <c r="FC44" s="15"/>
      <c r="FD44" s="22"/>
      <c r="FE44" s="15"/>
      <c r="FF44" s="24"/>
      <c r="FG44" s="16"/>
      <c r="FH44" s="14"/>
      <c r="FI44" s="14"/>
      <c r="FJ44" s="14"/>
      <c r="FK44" s="44"/>
      <c r="FL44" s="45"/>
      <c r="FM44" s="22"/>
      <c r="FN44" s="15"/>
      <c r="FO44" s="22"/>
      <c r="FP44" s="15"/>
      <c r="FQ44" s="24"/>
      <c r="FR44" s="16"/>
      <c r="FS44" s="14"/>
      <c r="FT44" s="14"/>
      <c r="FU44" s="14"/>
      <c r="FV44" s="44"/>
      <c r="FW44" s="45"/>
      <c r="FX44" s="22"/>
      <c r="FY44" s="15"/>
      <c r="FZ44" s="22"/>
      <c r="GA44" s="15"/>
      <c r="GB44" s="24"/>
      <c r="GC44" s="16"/>
      <c r="GD44" s="14"/>
      <c r="GE44" s="14"/>
      <c r="GF44" s="14"/>
      <c r="GG44" s="44"/>
      <c r="GH44" s="1" t="s">
        <v>0</v>
      </c>
      <c r="GI44" s="61" t="e">
        <f>#REF!</f>
        <v>#REF!</v>
      </c>
      <c r="GJ44" s="62" t="e">
        <f>#REF!</f>
        <v>#REF!</v>
      </c>
      <c r="GK44" s="61" t="e">
        <f>#REF!</f>
        <v>#REF!</v>
      </c>
      <c r="GL44" s="62" t="e">
        <f>#REF!</f>
        <v>#REF!</v>
      </c>
      <c r="GM44" s="61" t="e">
        <f>#REF!</f>
        <v>#REF!</v>
      </c>
      <c r="GN44" s="62" t="e">
        <f>#REF!</f>
        <v>#REF!</v>
      </c>
      <c r="GO44" s="61" t="e">
        <f>#REF!</f>
        <v>#REF!</v>
      </c>
      <c r="GP44" s="62" t="e">
        <f>#REF!</f>
        <v>#REF!</v>
      </c>
      <c r="GQ44" s="61" t="e">
        <f>#REF!</f>
        <v>#REF!</v>
      </c>
      <c r="GR44" s="62" t="e">
        <f>#REF!</f>
        <v>#REF!</v>
      </c>
      <c r="GS44" s="61" t="e">
        <f>#REF!</f>
        <v>#REF!</v>
      </c>
      <c r="GT44" s="62" t="e">
        <f>#REF!</f>
        <v>#REF!</v>
      </c>
    </row>
    <row r="45" spans="2:202" ht="13.8" hidden="1" x14ac:dyDescent="0.25">
      <c r="B45" s="31" t="s">
        <v>134</v>
      </c>
      <c r="C45" s="3" t="s">
        <v>115</v>
      </c>
      <c r="D45" s="3">
        <v>1</v>
      </c>
      <c r="E45" s="3">
        <v>38</v>
      </c>
      <c r="F45" s="3">
        <f>E45-10</f>
        <v>28</v>
      </c>
      <c r="G45" s="11">
        <f>'Cooling Load'!$F$33</f>
        <v>29.675498504452051</v>
      </c>
      <c r="H45" s="14">
        <f>G45*1.15</f>
        <v>34.126823280119858</v>
      </c>
      <c r="I45" s="14">
        <f>'Cooling Load'!$J$33</f>
        <v>70.956270000000004</v>
      </c>
      <c r="J45" s="110">
        <f>'Cooling Load'!$J$21</f>
        <v>-1.6600000000000004E-2</v>
      </c>
      <c r="K45" s="109">
        <f>'Cooling Load'!$J$27</f>
        <v>-151.84200000000004</v>
      </c>
      <c r="L45" s="98">
        <f>I45/H45</f>
        <v>2.0791935252096749</v>
      </c>
      <c r="M45" s="97">
        <f>(1-(1-L45))*(1-$D$8)</f>
        <v>1.9752338489491912</v>
      </c>
      <c r="N45" s="43">
        <f>69+15</f>
        <v>84</v>
      </c>
      <c r="O45" s="15">
        <f>-0.00002515*N45^3+0.0100767*N45^2-1.45844836*N45+82.96962576</f>
        <v>16.654653119999992</v>
      </c>
      <c r="P45" s="15">
        <f>$G$21/(O45*1000)</f>
        <v>2.8663968607594453E-3</v>
      </c>
      <c r="Q45" s="15">
        <f>O45</f>
        <v>16.654653119999992</v>
      </c>
      <c r="R45" s="15">
        <f>($I45/Q45)/1000</f>
        <v>4.2604471848645773E-3</v>
      </c>
      <c r="S45" s="24">
        <f>P45-R45+$J45</f>
        <v>-1.7994050324105136E-2</v>
      </c>
      <c r="T45" s="16">
        <f>S45/$D45</f>
        <v>-1.7994050324105136E-2</v>
      </c>
      <c r="U45" s="14">
        <f>P45*$Q$10</f>
        <v>8.2819160552386162</v>
      </c>
      <c r="V45" s="14">
        <f>R45*$M45*$Q$7*$D$11</f>
        <v>29.43353639114849</v>
      </c>
      <c r="W45" s="14">
        <f>U45-V45+$K45</f>
        <v>-172.99362033590992</v>
      </c>
      <c r="X45" s="44">
        <f>W45/$D45</f>
        <v>-172.99362033590992</v>
      </c>
      <c r="Y45" s="43">
        <f>96+15</f>
        <v>111</v>
      </c>
      <c r="Z45" s="15">
        <f>-0.00002515*Y45^3+0.0100767*Y45^2-1.45844836*Y45+82.96962576</f>
        <v>10.840958850000007</v>
      </c>
      <c r="AA45" s="15">
        <f>$G$21/(Z45*1000)</f>
        <v>4.4035630132666214E-3</v>
      </c>
      <c r="AB45" s="15">
        <f>Z45</f>
        <v>10.840958850000007</v>
      </c>
      <c r="AC45" s="15">
        <f>($I45/AB45)/1000</f>
        <v>6.5452024107627675E-3</v>
      </c>
      <c r="AD45" s="24">
        <f>AA45-AC45+$J45</f>
        <v>-1.8741639397496151E-2</v>
      </c>
      <c r="AE45" s="16">
        <f>AD45/$D45</f>
        <v>-1.8741639397496151E-2</v>
      </c>
      <c r="AF45" s="14">
        <f>AA45*$R$10</f>
        <v>12.81636942180363</v>
      </c>
      <c r="AG45" s="14">
        <f>AC45*$M45*$R$7*$D$11</f>
        <v>45.548768336096252</v>
      </c>
      <c r="AH45" s="14">
        <f>AF45-AG45+$K45</f>
        <v>-184.57439891429266</v>
      </c>
      <c r="AI45" s="44">
        <f>AH45/$D45</f>
        <v>-184.57439891429266</v>
      </c>
      <c r="AJ45" s="43">
        <f>89+15</f>
        <v>104</v>
      </c>
      <c r="AK45" s="15">
        <f>-0.00002515*AJ45^3+0.0100767*AJ45^2-1.45844836*AJ45+82.96962576</f>
        <v>11.990253919999972</v>
      </c>
      <c r="AL45" s="15">
        <f>$G$21/(AK45*1000)</f>
        <v>3.9814707627314023E-3</v>
      </c>
      <c r="AM45" s="15">
        <f>AK45</f>
        <v>11.990253919999972</v>
      </c>
      <c r="AN45" s="15">
        <f>($I45/AM45)/1000</f>
        <v>5.917828802744835E-3</v>
      </c>
      <c r="AO45" s="24">
        <f>AL45-AN45+$J45</f>
        <v>-1.8536358040013436E-2</v>
      </c>
      <c r="AP45" s="16">
        <f>AO45/$D45</f>
        <v>-1.8536358040013436E-2</v>
      </c>
      <c r="AQ45" s="14">
        <f>AL45*$Q$10</f>
        <v>11.503712931290295</v>
      </c>
      <c r="AR45" s="14">
        <f>AN45*$M45*$S$7*$D$11</f>
        <v>41.867745728509256</v>
      </c>
      <c r="AS45" s="14">
        <f>AQ45-AR45+$K45</f>
        <v>-182.206032797219</v>
      </c>
      <c r="AT45" s="44">
        <f>AS45/$D45</f>
        <v>-182.206032797219</v>
      </c>
      <c r="AU45" s="43">
        <f>88+15</f>
        <v>103</v>
      </c>
      <c r="AV45" s="15">
        <f>-0.00002515*AU45^3+0.0100767*AU45^2-1.45844836*AU45+82.96962576</f>
        <v>12.171070929999985</v>
      </c>
      <c r="AW45" s="15">
        <f>$G$21/(AV45*1000)</f>
        <v>3.9223208618837241E-3</v>
      </c>
      <c r="AX45" s="15">
        <f>AV45</f>
        <v>12.171070929999985</v>
      </c>
      <c r="AY45" s="15">
        <f>($I45/AX45)/1000</f>
        <v>5.8299117972521828E-3</v>
      </c>
      <c r="AZ45" s="24">
        <f>AW45-AY45+$J45</f>
        <v>-1.8507590935368461E-2</v>
      </c>
      <c r="BA45" s="16">
        <f>AZ45/$D45</f>
        <v>-1.8507590935368461E-2</v>
      </c>
      <c r="BB45" s="14">
        <f>AW45*$S$10</f>
        <v>11.605598558600567</v>
      </c>
      <c r="BC45" s="14">
        <f>AY45*$M45*$T$7*$D$11</f>
        <v>42.235471209739302</v>
      </c>
      <c r="BD45" s="14">
        <f>BB45-BC45+$K45</f>
        <v>-182.47187265113877</v>
      </c>
      <c r="BE45" s="44">
        <f>BD45/$D45</f>
        <v>-182.47187265113877</v>
      </c>
      <c r="BF45" s="43">
        <f>83+15</f>
        <v>98</v>
      </c>
      <c r="BG45" s="15">
        <f>-0.00002515*BF45^3+0.0100767*BF45^2-1.45844836*BF45+82.96962576</f>
        <v>13.147334479999984</v>
      </c>
      <c r="BH45" s="15">
        <f>$G$21/(BG45*1000)</f>
        <v>3.6310664715214227E-3</v>
      </c>
      <c r="BI45" s="15">
        <f>BG45</f>
        <v>13.147334479999984</v>
      </c>
      <c r="BJ45" s="15">
        <f>($I45/BI45)/1000</f>
        <v>5.3970080481287102E-3</v>
      </c>
      <c r="BK45" s="24">
        <f>BH45-BJ45+$J45</f>
        <v>-1.836594157660729E-2</v>
      </c>
      <c r="BL45" s="16">
        <f>BK45/$D45</f>
        <v>-1.836594157660729E-2</v>
      </c>
      <c r="BM45" s="14">
        <f>BH45*$T$10</f>
        <v>11.001624163622187</v>
      </c>
      <c r="BN45" s="14">
        <f>BJ45*$M45*$U$7*$D$11</f>
        <v>38.291865860702643</v>
      </c>
      <c r="BO45" s="14">
        <f>BM45-BN45+$K45</f>
        <v>-179.1322416970805</v>
      </c>
      <c r="BP45" s="44">
        <f>BO45/$D45</f>
        <v>-179.1322416970805</v>
      </c>
      <c r="BQ45" s="43">
        <f>84+15</f>
        <v>99</v>
      </c>
      <c r="BR45" s="15">
        <f>-0.00002515*BQ45^3+0.0100767*BQ45^2-1.45844836*BQ45+82.96962576</f>
        <v>12.941954969999969</v>
      </c>
      <c r="BS45" s="15">
        <f>$G$21/(BR45*1000)</f>
        <v>3.6886888828516445E-3</v>
      </c>
      <c r="BT45" s="15">
        <f>BR45</f>
        <v>12.941954969999969</v>
      </c>
      <c r="BU45" s="15">
        <f>($I45/BT45)/1000</f>
        <v>5.4826546811884156E-3</v>
      </c>
      <c r="BV45" s="24">
        <f>BS45-BU45+$J45</f>
        <v>-1.8393965798336773E-2</v>
      </c>
      <c r="BW45" s="16">
        <f>BV45/$D45</f>
        <v>-1.8393965798336773E-2</v>
      </c>
      <c r="BX45" s="14">
        <f>BS45*$U$10</f>
        <v>10.945427674996846</v>
      </c>
      <c r="BY45" s="14">
        <f>BU45*$M45*$V$7*$D$11</f>
        <v>40.244281388724318</v>
      </c>
      <c r="BZ45" s="14">
        <f>BX45-BY45+$K45</f>
        <v>-181.14085371372752</v>
      </c>
      <c r="CA45" s="44">
        <f>BZ45/$D45</f>
        <v>-181.14085371372752</v>
      </c>
      <c r="CB45" s="43">
        <f>83+15</f>
        <v>98</v>
      </c>
      <c r="CC45" s="15">
        <f>-0.00002515*CB45^3+0.0100767*CB45^2-1.45844836*CB45+82.96962576</f>
        <v>13.147334479999984</v>
      </c>
      <c r="CD45" s="15">
        <f>$G$21/(CC45*1000)</f>
        <v>3.6310664715214227E-3</v>
      </c>
      <c r="CE45" s="15">
        <f>CC45</f>
        <v>13.147334479999984</v>
      </c>
      <c r="CF45" s="15">
        <f>($I45/CE45)/1000</f>
        <v>5.3970080481287102E-3</v>
      </c>
      <c r="CG45" s="24">
        <f>CD45-CF45+$J45</f>
        <v>-1.836594157660729E-2</v>
      </c>
      <c r="CH45" s="16">
        <f>CG45/$D45</f>
        <v>-1.836594157660729E-2</v>
      </c>
      <c r="CI45" s="14">
        <f>CD45*$V$10</f>
        <v>11.146916005743083</v>
      </c>
      <c r="CJ45" s="14">
        <f>CF45*$M45*$W$7*$D$11</f>
        <v>40.030683205499741</v>
      </c>
      <c r="CK45" s="14">
        <f>CI45-CJ45+$K45</f>
        <v>-180.72576719975669</v>
      </c>
      <c r="CL45" s="44">
        <f>CK45/$D45</f>
        <v>-180.72576719975669</v>
      </c>
      <c r="CM45" s="43">
        <f>89+15</f>
        <v>104</v>
      </c>
      <c r="CN45" s="15">
        <f>-0.00002515*CM45^3+0.0100767*CM45^2-1.45844836*CM45+82.96962576</f>
        <v>11.990253919999972</v>
      </c>
      <c r="CO45" s="15">
        <f>$G$21/(CN45*1000)</f>
        <v>3.9814707627314023E-3</v>
      </c>
      <c r="CP45" s="15">
        <f>CN45</f>
        <v>11.990253919999972</v>
      </c>
      <c r="CQ45" s="15">
        <f>($I45/CP45)/1000</f>
        <v>5.917828802744835E-3</v>
      </c>
      <c r="CR45" s="24">
        <f>CO45-CQ45+$J45</f>
        <v>-1.8536358040013436E-2</v>
      </c>
      <c r="CS45" s="16">
        <f>CR45/$D45</f>
        <v>-1.8536358040013436E-2</v>
      </c>
      <c r="CT45" s="14">
        <f>CO45*$W$10</f>
        <v>12.350675551553147</v>
      </c>
      <c r="CU45" s="14">
        <f>CQ45*$M45*$X$7*$D$11</f>
        <v>43.701299656808523</v>
      </c>
      <c r="CV45" s="14">
        <f>CT45-CU45+$K45</f>
        <v>-183.19262410525542</v>
      </c>
      <c r="CW45" s="44">
        <f>CV45/$D45</f>
        <v>-183.19262410525542</v>
      </c>
      <c r="CX45" s="43">
        <f>94+15</f>
        <v>109</v>
      </c>
      <c r="CY45" s="15">
        <f>-0.00002515*CX45^3+0.0100767*CX45^2-1.45844836*CX45+82.96962576</f>
        <v>11.150047869999966</v>
      </c>
      <c r="CZ45" s="15">
        <f>$G$21/(CY45*1000)</f>
        <v>4.2814924184003192E-3</v>
      </c>
      <c r="DA45" s="15">
        <f>CY45</f>
        <v>11.150047869999966</v>
      </c>
      <c r="DB45" s="15">
        <f>($I45/DA45)/1000</f>
        <v>6.3637637100117869E-3</v>
      </c>
      <c r="DC45" s="24">
        <f>CZ45-DB45+$J45</f>
        <v>-1.8682271291611471E-2</v>
      </c>
      <c r="DD45" s="16">
        <f>DC45/$D45</f>
        <v>-1.8682271291611471E-2</v>
      </c>
      <c r="DE45" s="14">
        <f>CZ45*$X$10</f>
        <v>13.223133437236696</v>
      </c>
      <c r="DF45" s="14">
        <f>DB45*$M45*$Y$7*$D$11</f>
        <v>46.521866380444166</v>
      </c>
      <c r="DG45" s="14">
        <f>DE45-DF45+$K45</f>
        <v>-185.14073294320752</v>
      </c>
      <c r="DH45" s="44">
        <f>DG45/$D45</f>
        <v>-185.14073294320752</v>
      </c>
      <c r="DI45" s="43">
        <f>100+15</f>
        <v>115</v>
      </c>
      <c r="DJ45" s="15">
        <f>-0.00002515*DI45^3+0.0100767*DI45^2-1.45844836*DI45+82.96962576</f>
        <v>10.262415609999962</v>
      </c>
      <c r="DK45" s="15">
        <f>$G$21/(DJ45*1000)</f>
        <v>4.6518136893313423E-3</v>
      </c>
      <c r="DL45" s="15">
        <f>DJ45</f>
        <v>10.262415609999962</v>
      </c>
      <c r="DM45" s="15">
        <f>($I45/DL45)/1000</f>
        <v>6.9141879160359073E-3</v>
      </c>
      <c r="DN45" s="24">
        <f>DK45-DM45+$J45</f>
        <v>-1.886237422670457E-2</v>
      </c>
      <c r="DO45" s="16">
        <f>DN45/$D45</f>
        <v>-1.886237422670457E-2</v>
      </c>
      <c r="DP45" s="14">
        <f>DK45*$Y$10</f>
        <v>14.222391911810622</v>
      </c>
      <c r="DQ45" s="14">
        <f>DM45*$M45*$Z$7*$D$11</f>
        <v>50.003758057328064</v>
      </c>
      <c r="DR45" s="14">
        <f>DP45-DQ45+$K45</f>
        <v>-187.62336614551748</v>
      </c>
      <c r="DS45" s="44">
        <f>DR45/$D45</f>
        <v>-187.62336614551748</v>
      </c>
      <c r="DT45" s="43">
        <f>104+15</f>
        <v>119</v>
      </c>
      <c r="DU45" s="15">
        <f>-0.00002515*DT45^3+0.0100767*DT45^2-1.45844836*DT45+82.96962576</f>
        <v>9.7286707699999653</v>
      </c>
      <c r="DV45" s="15">
        <f>$G$21/(DU45*1000)</f>
        <v>4.907026514600169E-3</v>
      </c>
      <c r="DW45" s="15">
        <f>DU45</f>
        <v>9.7286707699999653</v>
      </c>
      <c r="DX45" s="15">
        <f>($I45/DW45)/1000</f>
        <v>7.2935215588552857E-3</v>
      </c>
      <c r="DY45" s="24">
        <f>DV45-DX45+$J45</f>
        <v>-1.8986495044255119E-2</v>
      </c>
      <c r="DZ45" s="16">
        <f>DY45/$D45</f>
        <v>-1.8986495044255119E-2</v>
      </c>
      <c r="EA45" s="14">
        <f>DV45*$Z$10</f>
        <v>14.84181851148848</v>
      </c>
      <c r="EB45" s="14">
        <f>DX45*$M45*$AA$7*$D$11</f>
        <v>50.857305414142587</v>
      </c>
      <c r="EC45" s="14">
        <f>EA45-EB45+$K45</f>
        <v>-187.85748690265416</v>
      </c>
      <c r="ED45" s="44">
        <f>EC45/$D45</f>
        <v>-187.85748690265416</v>
      </c>
      <c r="EE45" s="43">
        <f>100+15</f>
        <v>115</v>
      </c>
      <c r="EF45" s="15">
        <f>-0.00002515*EE45^3+0.0100767*EE45^2-1.45844836*EE45+82.96962576</f>
        <v>10.262415609999962</v>
      </c>
      <c r="EG45" s="15">
        <f>$G$21/(EF45*1000)</f>
        <v>4.6518136893313423E-3</v>
      </c>
      <c r="EH45" s="15">
        <f>EF45</f>
        <v>10.262415609999962</v>
      </c>
      <c r="EI45" s="15">
        <f>($I45/EH45)/1000</f>
        <v>6.9141879160359073E-3</v>
      </c>
      <c r="EJ45" s="24">
        <f>EG45-EI45+$J45</f>
        <v>-1.886237422670457E-2</v>
      </c>
      <c r="EK45" s="16">
        <f>EJ45/$D45</f>
        <v>-1.886237422670457E-2</v>
      </c>
      <c r="EL45" s="14">
        <f>EG45*$AA$10</f>
        <v>13.565806968120146</v>
      </c>
      <c r="EM45" s="14">
        <f>EI45*$M45*$AB$7*$D$11</f>
        <v>48.969809919720603</v>
      </c>
      <c r="EN45" s="14">
        <f>EL45-EM45+$K45</f>
        <v>-187.2460029516005</v>
      </c>
      <c r="EO45" s="44">
        <f>EN45/$D45</f>
        <v>-187.2460029516005</v>
      </c>
      <c r="EP45" s="43">
        <f>101+15</f>
        <v>116</v>
      </c>
      <c r="EQ45" s="15">
        <f>-0.00002515*EP45^3+0.0100767*EP45^2-1.45844836*EP45+82.96962576</f>
        <v>10.125156799999999</v>
      </c>
      <c r="ER45" s="15">
        <f>$G$21/(EQ45*1000)</f>
        <v>4.7148746792943967E-3</v>
      </c>
      <c r="ES45" s="15">
        <f>EQ45</f>
        <v>10.125156799999999</v>
      </c>
      <c r="ET45" s="15">
        <f>($I45/ES45)/1000</f>
        <v>7.0079181391047704E-3</v>
      </c>
      <c r="EU45" s="24">
        <f>ER45-ET45+$J45</f>
        <v>-1.8893043459810376E-2</v>
      </c>
      <c r="EV45" s="16">
        <f>EU45/$D45</f>
        <v>-1.8893043459810376E-2</v>
      </c>
      <c r="EW45" s="14">
        <f>ER45*$AB$10</f>
        <v>13.965762069797471</v>
      </c>
      <c r="EX45" s="14">
        <f>ET45*$M45*$AC$7*$D$11</f>
        <v>50.776015348189382</v>
      </c>
      <c r="EY45" s="14">
        <f>EW45-EX45+$K45</f>
        <v>-188.65225327839195</v>
      </c>
      <c r="EZ45" s="44">
        <f>EY45/$D45</f>
        <v>-188.65225327839195</v>
      </c>
      <c r="FA45" s="43">
        <f>108+15</f>
        <v>123</v>
      </c>
      <c r="FB45" s="15">
        <f>-0.00002515*FA45^3+0.0100767*FA45^2-1.45844836*FA45+82.96962576</f>
        <v>9.2300667299999901</v>
      </c>
      <c r="FC45" s="15">
        <f>$G$21/(FB45*1000)</f>
        <v>5.1721018727895517E-3</v>
      </c>
      <c r="FD45" s="15">
        <f>FB45</f>
        <v>9.2300667299999901</v>
      </c>
      <c r="FE45" s="15">
        <f>($I45/FD45)/1000</f>
        <v>7.6875143025103652E-3</v>
      </c>
      <c r="FF45" s="24">
        <f>FC45-FE45+$J45</f>
        <v>-1.9115412429720816E-2</v>
      </c>
      <c r="FG45" s="16">
        <f>FF45/$D45</f>
        <v>-1.9115412429720816E-2</v>
      </c>
      <c r="FH45" s="14">
        <f>FC45*$AC$10</f>
        <v>15.672703315461211</v>
      </c>
      <c r="FI45" s="14">
        <f>FE45*$M45*$AD$7*$D$11</f>
        <v>55.090637623354645</v>
      </c>
      <c r="FJ45" s="14">
        <f>FH45-FI45+$K45</f>
        <v>-191.25993430789347</v>
      </c>
      <c r="FK45" s="44">
        <f>FJ45/$D45</f>
        <v>-191.25993430789347</v>
      </c>
      <c r="FL45" s="43">
        <f>111+15</f>
        <v>126</v>
      </c>
      <c r="FM45" s="15">
        <f>-0.00002515*FL45^3+0.0100767*FL45^2-1.45844836*FL45+82.96962576</f>
        <v>8.873365199999995</v>
      </c>
      <c r="FN45" s="15">
        <f>$G$21/(FM45*1000)</f>
        <v>5.3800158501540662E-3</v>
      </c>
      <c r="FO45" s="15">
        <f>FM45</f>
        <v>8.873365199999995</v>
      </c>
      <c r="FP45" s="15">
        <f>($I45/FO45)/1000</f>
        <v>7.9965456622928185E-3</v>
      </c>
      <c r="FQ45" s="24">
        <f>FN45-FP45+$J45</f>
        <v>-1.9216529812138755E-2</v>
      </c>
      <c r="FR45" s="16">
        <f>FQ45/$D45</f>
        <v>-1.9216529812138755E-2</v>
      </c>
      <c r="FS45" s="14">
        <f>FN45*$AD$10</f>
        <v>16.124366573823188</v>
      </c>
      <c r="FT45" s="14">
        <f>FP45*$M45*$AE$7*$D$11</f>
        <v>63.235473334148303</v>
      </c>
      <c r="FU45" s="14">
        <f>FS45-FT45+$K45</f>
        <v>-198.95310676032517</v>
      </c>
      <c r="FV45" s="44">
        <f>FU45/$D45</f>
        <v>-198.95310676032517</v>
      </c>
      <c r="FW45" s="43">
        <f>89+15</f>
        <v>104</v>
      </c>
      <c r="FX45" s="15">
        <f>-0.00002515*FW45^3+0.0100767*FW45^2-1.45844836*FW45+82.96962576</f>
        <v>11.990253919999972</v>
      </c>
      <c r="FY45" s="15">
        <f>$G$21/(FX45*1000)</f>
        <v>3.9814707627314023E-3</v>
      </c>
      <c r="FZ45" s="15">
        <f>FX45</f>
        <v>11.990253919999972</v>
      </c>
      <c r="GA45" s="15">
        <f>($I45/FZ45)/1000</f>
        <v>5.917828802744835E-3</v>
      </c>
      <c r="GB45" s="24">
        <f>FY45-GA45+$J45</f>
        <v>-1.8536358040013436E-2</v>
      </c>
      <c r="GC45" s="16">
        <f>GB45/$D45</f>
        <v>-1.8536358040013436E-2</v>
      </c>
      <c r="GD45" s="14">
        <f>FY45*$AE$10</f>
        <v>13.167675903187313</v>
      </c>
      <c r="GE45" s="14">
        <f>GA45*$M45*$AF$7*$D$11</f>
        <v>39.111412669510678</v>
      </c>
      <c r="GF45" s="14">
        <f>GD45-GE45+$K45</f>
        <v>-177.7857367663234</v>
      </c>
      <c r="GG45" s="44">
        <f>GF45/$D45</f>
        <v>-177.7857367663234</v>
      </c>
    </row>
    <row r="46" spans="2:202" ht="13.8" hidden="1" x14ac:dyDescent="0.25">
      <c r="B46" s="31" t="s">
        <v>135</v>
      </c>
      <c r="C46" s="3" t="s">
        <v>115</v>
      </c>
      <c r="D46" s="3">
        <v>1</v>
      </c>
      <c r="E46" s="3">
        <v>0</v>
      </c>
      <c r="F46" s="3">
        <f>E46-10</f>
        <v>-10</v>
      </c>
      <c r="G46" s="11">
        <f>'Cooling Load'!$F$33</f>
        <v>29.675498504452051</v>
      </c>
      <c r="H46" s="14">
        <f>G46*1.15</f>
        <v>34.126823280119858</v>
      </c>
      <c r="I46" s="14">
        <f>'Cooling Load'!$J$33</f>
        <v>70.956270000000004</v>
      </c>
      <c r="J46" s="110">
        <f>'Cooling Load'!$J$21</f>
        <v>-1.6600000000000004E-2</v>
      </c>
      <c r="K46" s="109">
        <f>'Cooling Load'!$J$27</f>
        <v>-151.84200000000004</v>
      </c>
      <c r="L46" s="98">
        <f>I46/H46</f>
        <v>2.0791935252096749</v>
      </c>
      <c r="M46" s="97">
        <f>(1-(1-L46))*(1-$E$8)</f>
        <v>1.8712741726887074</v>
      </c>
      <c r="N46" s="43">
        <f>69+10</f>
        <v>79</v>
      </c>
      <c r="O46" s="15">
        <f>0.00000491*N46^3-0.00107023*N46^2-0.03013591*N46+15.74788397</f>
        <v>9.1086631400000009</v>
      </c>
      <c r="P46" s="15">
        <f>$G$22/(O46*1000)</f>
        <v>5.2410375360752966E-3</v>
      </c>
      <c r="Q46" s="15">
        <f>O46</f>
        <v>9.1086631400000009</v>
      </c>
      <c r="R46" s="15">
        <f>($I46/Q46)/1000</f>
        <v>7.7899763016156497E-3</v>
      </c>
      <c r="S46" s="24">
        <f>P46-R46+$J46</f>
        <v>-1.9148938765540358E-2</v>
      </c>
      <c r="T46" s="16">
        <f>S46/$D46</f>
        <v>-1.9148938765540358E-2</v>
      </c>
      <c r="U46" s="14">
        <f>P46*$Q$11</f>
        <v>14.345995126206512</v>
      </c>
      <c r="V46" s="14">
        <f>R46*$M46*$Q$7*$E$11</f>
        <v>50.984985454826891</v>
      </c>
      <c r="W46" s="14">
        <f>U46-V46+$K46</f>
        <v>-188.48099032862041</v>
      </c>
      <c r="X46" s="44">
        <f>W46/$D46</f>
        <v>-188.48099032862041</v>
      </c>
      <c r="Y46" s="43">
        <f>96+10</f>
        <v>106</v>
      </c>
      <c r="Z46" s="15">
        <f>0.00000491*Y46^3-0.00107023*Y46^2-0.03013591*Y46+15.74788397</f>
        <v>6.3762617900000009</v>
      </c>
      <c r="AA46" s="15">
        <f>$G$22/(Z46*1000)</f>
        <v>7.4869644616968392E-3</v>
      </c>
      <c r="AB46" s="15">
        <f>Z46</f>
        <v>6.3762617900000009</v>
      </c>
      <c r="AC46" s="15">
        <f>($I46/AB46)/1000</f>
        <v>1.1128192714935564E-2</v>
      </c>
      <c r="AD46" s="24">
        <f>AA46-AC46+$J46</f>
        <v>-2.0241228253238729E-2</v>
      </c>
      <c r="AE46" s="16">
        <f>AD46/$D46</f>
        <v>-2.0241228253238729E-2</v>
      </c>
      <c r="AF46" s="14">
        <f>AA46*$R$11</f>
        <v>20.643602008058707</v>
      </c>
      <c r="AG46" s="14">
        <f>AC46*$M46*$R$7*$E$11</f>
        <v>73.366381269252727</v>
      </c>
      <c r="AH46" s="14">
        <f>AF46-AG46+$K46</f>
        <v>-204.56477926119408</v>
      </c>
      <c r="AI46" s="44">
        <f>AH46/$D46</f>
        <v>-204.56477926119408</v>
      </c>
      <c r="AJ46" s="43">
        <f>89+10</f>
        <v>99</v>
      </c>
      <c r="AK46" s="15">
        <f>0.00000491*AJ46^3-0.00107023*AJ46^2-0.03013591*AJ46+15.74788397</f>
        <v>7.0392727400000012</v>
      </c>
      <c r="AL46" s="15">
        <f>$G$22/(AK46*1000)</f>
        <v>6.7817865827152863E-3</v>
      </c>
      <c r="AM46" s="15">
        <f>AK46</f>
        <v>7.0392727400000012</v>
      </c>
      <c r="AN46" s="15">
        <f>($I46/AM46)/1000</f>
        <v>1.0080056934972517E-2</v>
      </c>
      <c r="AO46" s="24">
        <f>AL46-AN46+$J46</f>
        <v>-1.9898270352257233E-2</v>
      </c>
      <c r="AP46" s="16">
        <f>AO46/$D46</f>
        <v>-1.9898270352257233E-2</v>
      </c>
      <c r="AQ46" s="14">
        <f>AL46*$Q$11</f>
        <v>18.563400203285333</v>
      </c>
      <c r="AR46" s="14">
        <f>AN46*$M46*$S$7*$E$11</f>
        <v>67.561466824653536</v>
      </c>
      <c r="AS46" s="14">
        <f>AQ46-AR46+$K46</f>
        <v>-200.84006662136824</v>
      </c>
      <c r="AT46" s="44">
        <f>AS46/$D46</f>
        <v>-200.84006662136824</v>
      </c>
      <c r="AU46" s="43">
        <f>88+10</f>
        <v>98</v>
      </c>
      <c r="AV46" s="15">
        <f>0.00000491*AU46^3-0.00107023*AU46^2-0.03013591*AU46+15.74788397</f>
        <v>7.137328590000001</v>
      </c>
      <c r="AW46" s="15">
        <f>$G$22/(AV46*1000)</f>
        <v>6.6886153297035572E-3</v>
      </c>
      <c r="AX46" s="15">
        <f>AV46</f>
        <v>7.137328590000001</v>
      </c>
      <c r="AY46" s="15">
        <f>($I46/AX46)/1000</f>
        <v>9.9415725513066228E-3</v>
      </c>
      <c r="AZ46" s="24">
        <f>AW46-AY46+$J46</f>
        <v>-1.985295722160307E-2</v>
      </c>
      <c r="BA46" s="16">
        <f>AZ46/$D46</f>
        <v>-1.985295722160307E-2</v>
      </c>
      <c r="BB46" s="14">
        <f>AW46*$S$11</f>
        <v>18.749062218536924</v>
      </c>
      <c r="BC46" s="14">
        <f>AY46*$M46*$T$7*$E$11</f>
        <v>68.232196171716751</v>
      </c>
      <c r="BD46" s="14">
        <f>BB46-BC46+$K46</f>
        <v>-201.32513395317989</v>
      </c>
      <c r="BE46" s="44">
        <f>BD46/$D46</f>
        <v>-201.32513395317989</v>
      </c>
      <c r="BF46" s="43">
        <f>83+10</f>
        <v>93</v>
      </c>
      <c r="BG46" s="15">
        <f>0.00000491*BF46^3-0.00107023*BF46^2-0.03013591*BF46+15.74788397</f>
        <v>7.6382179400000023</v>
      </c>
      <c r="BH46" s="15">
        <f>$G$22/(BG46*1000)</f>
        <v>6.2499978129984422E-3</v>
      </c>
      <c r="BI46" s="15">
        <f>BG46</f>
        <v>7.6382179400000023</v>
      </c>
      <c r="BJ46" s="15">
        <f>($I46/BI46)/1000</f>
        <v>9.2896367395350829E-3</v>
      </c>
      <c r="BK46" s="24">
        <f>BH46-BJ46+$J46</f>
        <v>-1.9639638926536643E-2</v>
      </c>
      <c r="BL46" s="16">
        <f>BK46/$D46</f>
        <v>-1.9639638926536643E-2</v>
      </c>
      <c r="BM46" s="14">
        <f>BH46*$T$11</f>
        <v>17.939956049369705</v>
      </c>
      <c r="BN46" s="14">
        <f>BJ46*$M46*$U$7*$E$11</f>
        <v>62.441179626989907</v>
      </c>
      <c r="BO46" s="14">
        <f>BM46-BN46+$K46</f>
        <v>-196.34322357762025</v>
      </c>
      <c r="BP46" s="44">
        <f>BO46/$D46</f>
        <v>-196.34322357762025</v>
      </c>
      <c r="BQ46" s="43">
        <f>84+10</f>
        <v>94</v>
      </c>
      <c r="BR46" s="15">
        <f>0.00000491*BQ46^3-0.00107023*BQ46^2-0.03013591*BQ46+15.74788397</f>
        <v>7.5367235900000029</v>
      </c>
      <c r="BS46" s="15">
        <f>$G$22/(BR46*1000)</f>
        <v>6.3341642890482408E-3</v>
      </c>
      <c r="BT46" s="15">
        <f>BR46</f>
        <v>7.5367235900000029</v>
      </c>
      <c r="BU46" s="15">
        <f>($I46/BT46)/1000</f>
        <v>9.4147369414140838E-3</v>
      </c>
      <c r="BV46" s="24">
        <f>BS46-BU46+$J46</f>
        <v>-1.9680572652365846E-2</v>
      </c>
      <c r="BW46" s="16">
        <f>BV46/$D46</f>
        <v>-1.9680572652365846E-2</v>
      </c>
      <c r="BX46" s="14">
        <f>BS46*$U$11</f>
        <v>17.806105260889503</v>
      </c>
      <c r="BY46" s="14">
        <f>BU46*$M46*$V$7*$E$11</f>
        <v>65.469704047602463</v>
      </c>
      <c r="BZ46" s="14">
        <f>BX46-BY46+$K46</f>
        <v>-199.50559878671299</v>
      </c>
      <c r="CA46" s="44">
        <f>BZ46/$D46</f>
        <v>-199.50559878671299</v>
      </c>
      <c r="CB46" s="43">
        <f>83+10</f>
        <v>93</v>
      </c>
      <c r="CC46" s="15">
        <f>0.00000491*CB46^3-0.00107023*CB46^2-0.03013591*CB46+15.74788397</f>
        <v>7.6382179400000023</v>
      </c>
      <c r="CD46" s="15">
        <f>$G$22/(CC46*1000)</f>
        <v>6.2499978129984422E-3</v>
      </c>
      <c r="CE46" s="15">
        <f>CC46</f>
        <v>7.6382179400000023</v>
      </c>
      <c r="CF46" s="15">
        <f>($I46/CE46)/1000</f>
        <v>9.2896367395350829E-3</v>
      </c>
      <c r="CG46" s="24">
        <f>CD46-CF46+$J46</f>
        <v>-1.9639638926536643E-2</v>
      </c>
      <c r="CH46" s="16">
        <f>CG46/$D46</f>
        <v>-1.9639638926536643E-2</v>
      </c>
      <c r="CI46" s="14">
        <f>CD46*$V$11</f>
        <v>18.176878273144585</v>
      </c>
      <c r="CJ46" s="14">
        <f>CF46*$M46*$W$7*$E$11</f>
        <v>65.276607040215694</v>
      </c>
      <c r="CK46" s="14">
        <f>CI46-CJ46+$K46</f>
        <v>-198.94172876707114</v>
      </c>
      <c r="CL46" s="44">
        <f>CK46/$D46</f>
        <v>-198.94172876707114</v>
      </c>
      <c r="CM46" s="43">
        <f>89+10</f>
        <v>99</v>
      </c>
      <c r="CN46" s="15">
        <f>0.00000491*CM46^3-0.00107023*CM46^2-0.03013591*CM46+15.74788397</f>
        <v>7.0392727400000012</v>
      </c>
      <c r="CO46" s="15">
        <f>$G$22/(CN46*1000)</f>
        <v>6.7817865827152863E-3</v>
      </c>
      <c r="CP46" s="15">
        <f>CN46</f>
        <v>7.0392727400000012</v>
      </c>
      <c r="CQ46" s="15">
        <f>($I46/CP46)/1000</f>
        <v>1.0080056934972517E-2</v>
      </c>
      <c r="CR46" s="24">
        <f>CO46-CQ46+$J46</f>
        <v>-1.9898270352257233E-2</v>
      </c>
      <c r="CS46" s="16">
        <f>CR46/$D46</f>
        <v>-1.9898270352257233E-2</v>
      </c>
      <c r="CT46" s="14">
        <f>CO46*$W$11</f>
        <v>19.930133376398253</v>
      </c>
      <c r="CU46" s="14">
        <f>CQ46*$M46*$X$7*$E$11</f>
        <v>70.520250268626995</v>
      </c>
      <c r="CV46" s="14">
        <f>CT46-CU46+$K46</f>
        <v>-202.43211689222878</v>
      </c>
      <c r="CW46" s="44">
        <f>CV46/$D46</f>
        <v>-202.43211689222878</v>
      </c>
      <c r="CX46" s="43">
        <f>94+10</f>
        <v>104</v>
      </c>
      <c r="CY46" s="15">
        <f>0.00000491*CX46^3-0.00107023*CX46^2-0.03013591*CX46+15.74788397</f>
        <v>6.5612238900000026</v>
      </c>
      <c r="CZ46" s="15">
        <f>$G$22/(CY46*1000)</f>
        <v>7.2759055658753718E-3</v>
      </c>
      <c r="DA46" s="15">
        <f>CY46</f>
        <v>6.5612238900000026</v>
      </c>
      <c r="DB46" s="15">
        <f>($I46/DA46)/1000</f>
        <v>1.0814486929510947E-2</v>
      </c>
      <c r="DC46" s="24">
        <f>CZ46-DB46+$J46</f>
        <v>-2.0138581363635579E-2</v>
      </c>
      <c r="DD46" s="16">
        <f>DC46/$D46</f>
        <v>-2.0138581363635579E-2</v>
      </c>
      <c r="DE46" s="14">
        <f>CZ46*$X$11</f>
        <v>21.288504763516915</v>
      </c>
      <c r="DF46" s="14">
        <f>DB46*$M46*$Y$7*$E$11</f>
        <v>74.897601143375255</v>
      </c>
      <c r="DG46" s="14">
        <f>DE46-DF46+$K46</f>
        <v>-205.45109637985837</v>
      </c>
      <c r="DH46" s="44">
        <f>DG46/$D46</f>
        <v>-205.45109637985837</v>
      </c>
      <c r="DI46" s="43">
        <f>100+10</f>
        <v>110</v>
      </c>
      <c r="DJ46" s="15">
        <f>0.00000491*DI46^3-0.00107023*DI46^2-0.03013591*DI46+15.74788397</f>
        <v>6.0183608700000022</v>
      </c>
      <c r="DK46" s="15">
        <f>$G$22/(DJ46*1000)</f>
        <v>7.9322005528401386E-3</v>
      </c>
      <c r="DL46" s="15">
        <f>DJ46</f>
        <v>6.0183608700000022</v>
      </c>
      <c r="DM46" s="15">
        <f>($I46/DL46)/1000</f>
        <v>1.1789965994511721E-2</v>
      </c>
      <c r="DN46" s="24">
        <f>DK46-DM46+$J46</f>
        <v>-2.0457765441671584E-2</v>
      </c>
      <c r="DO46" s="16">
        <f>DN46/$D46</f>
        <v>-2.0457765441671584E-2</v>
      </c>
      <c r="DP46" s="14">
        <f>DK46*$Y$11</f>
        <v>22.975391460273876</v>
      </c>
      <c r="DQ46" s="14">
        <f>DM46*$M46*$Z$7*$E$11</f>
        <v>80.777967797237963</v>
      </c>
      <c r="DR46" s="14">
        <f>DP46-DQ46+$K46</f>
        <v>-209.64457633696412</v>
      </c>
      <c r="DS46" s="44">
        <f>DR46/$D46</f>
        <v>-209.64457633696412</v>
      </c>
      <c r="DT46" s="43">
        <f>104+10</f>
        <v>114</v>
      </c>
      <c r="DU46" s="15">
        <f>0.00000491*DT46^3-0.00107023*DT46^2-0.03013591*DT46+15.74788397</f>
        <v>5.6780621900000021</v>
      </c>
      <c r="DV46" s="15">
        <f>$G$22/(DU46*1000)</f>
        <v>8.4075946727532151E-3</v>
      </c>
      <c r="DW46" s="15">
        <f>DU46</f>
        <v>5.6780621900000021</v>
      </c>
      <c r="DX46" s="15">
        <f>($I46/DW46)/1000</f>
        <v>1.2496564430901379E-2</v>
      </c>
      <c r="DY46" s="24">
        <f>DV46-DX46+$J46</f>
        <v>-2.0688969758148167E-2</v>
      </c>
      <c r="DZ46" s="16">
        <f>DY46/$D46</f>
        <v>-2.0688969758148167E-2</v>
      </c>
      <c r="EA46" s="14">
        <f>DV46*$Z$11</f>
        <v>24.091252666890295</v>
      </c>
      <c r="EB46" s="14">
        <f>DX46*$M46*$AA$7*$E$11</f>
        <v>82.551622211316214</v>
      </c>
      <c r="EC46" s="14">
        <f>EA46-EB46+$K46</f>
        <v>-210.30236954442597</v>
      </c>
      <c r="ED46" s="44">
        <f>EC46/$D46</f>
        <v>-210.30236954442597</v>
      </c>
      <c r="EE46" s="43">
        <f>100+10</f>
        <v>110</v>
      </c>
      <c r="EF46" s="15">
        <f>0.00000491*EE46^3-0.00107023*EE46^2-0.03013591*EE46+15.74788397</f>
        <v>6.0183608700000022</v>
      </c>
      <c r="EG46" s="15">
        <f>$G$22/(EF46*1000)</f>
        <v>7.9322005528401386E-3</v>
      </c>
      <c r="EH46" s="15">
        <f>EF46</f>
        <v>6.0183608700000022</v>
      </c>
      <c r="EI46" s="15">
        <f>($I46/EH46)/1000</f>
        <v>1.1789965994511721E-2</v>
      </c>
      <c r="EJ46" s="24">
        <f>EG46-EI46+$J46</f>
        <v>-2.0457765441671584E-2</v>
      </c>
      <c r="EK46" s="16">
        <f>EJ46/$D46</f>
        <v>-2.0457765441671584E-2</v>
      </c>
      <c r="EL46" s="14">
        <f>EG46*$AA$11</f>
        <v>21.914719232863003</v>
      </c>
      <c r="EM46" s="14">
        <f>EI46*$M46*$AB$7*$E$11</f>
        <v>79.10768875005283</v>
      </c>
      <c r="EN46" s="14">
        <f>EL46-EM46+$K46</f>
        <v>-209.03496951718986</v>
      </c>
      <c r="EO46" s="44">
        <f>EN46/$D46</f>
        <v>-209.03496951718986</v>
      </c>
      <c r="EP46" s="43">
        <f>101+10</f>
        <v>111</v>
      </c>
      <c r="EQ46" s="15">
        <f>0.00000491*EP46^3-0.00107023*EP46^2-0.03013591*EP46+15.74788397</f>
        <v>5.9315623400000028</v>
      </c>
      <c r="ER46" s="15">
        <f>$G$22/(EQ46*1000)</f>
        <v>8.0482750890561242E-3</v>
      </c>
      <c r="ES46" s="15">
        <f>EQ46</f>
        <v>5.9315623400000028</v>
      </c>
      <c r="ET46" s="15">
        <f>($I46/ES46)/1000</f>
        <v>1.196249249906728E-2</v>
      </c>
      <c r="EU46" s="24">
        <f>ER46-ET46+$J46</f>
        <v>-2.0514217410011158E-2</v>
      </c>
      <c r="EV46" s="16">
        <f>EU46/$D46</f>
        <v>-2.0514217410011158E-2</v>
      </c>
      <c r="EW46" s="14">
        <f>ER46*$AB$11</f>
        <v>22.584797520802699</v>
      </c>
      <c r="EX46" s="14">
        <f>ET46*$M46*$AC$7*$E$11</f>
        <v>82.112670960651485</v>
      </c>
      <c r="EY46" s="14">
        <f>EW46-EX46+$K46</f>
        <v>-211.36987343984885</v>
      </c>
      <c r="EZ46" s="44">
        <f>EY46/$D46</f>
        <v>-211.36987343984885</v>
      </c>
      <c r="FA46" s="43">
        <f>108+10</f>
        <v>118</v>
      </c>
      <c r="FB46" s="15">
        <f>0.00000491*FA46^3-0.00107023*FA46^2-0.03013591*FA46+15.74788397</f>
        <v>5.357251190000003</v>
      </c>
      <c r="FC46" s="15">
        <f>$G$22/(FB46*1000)</f>
        <v>8.9110709442402417E-3</v>
      </c>
      <c r="FD46" s="15">
        <f>FB46</f>
        <v>5.357251190000003</v>
      </c>
      <c r="FE46" s="15">
        <f>($I46/FD46)/1000</f>
        <v>1.3244902559814442E-2</v>
      </c>
      <c r="FF46" s="24">
        <f>FC46-FE46+$J46</f>
        <v>-2.0933831615574203E-2</v>
      </c>
      <c r="FG46" s="16">
        <f>FF46/$D46</f>
        <v>-2.0933831615574203E-2</v>
      </c>
      <c r="FH46" s="14">
        <f>FC46*$AC$11</f>
        <v>25.581478866998683</v>
      </c>
      <c r="FI46" s="14">
        <f>FE46*$M46*$AD$7*$E$11</f>
        <v>89.920669954943037</v>
      </c>
      <c r="FJ46" s="14">
        <f>FH46-FI46+$K46</f>
        <v>-216.1811910879444</v>
      </c>
      <c r="FK46" s="44">
        <f>FJ46/$D46</f>
        <v>-216.1811910879444</v>
      </c>
      <c r="FL46" s="43">
        <f>111+10</f>
        <v>121</v>
      </c>
      <c r="FM46" s="15">
        <f>0.00000491*FL46^3-0.00107023*FL46^2-0.03013591*FL46+15.74788397</f>
        <v>5.1305659400000021</v>
      </c>
      <c r="FN46" s="15">
        <f>$G$22/(FM46*1000)</f>
        <v>9.3047913190265827E-3</v>
      </c>
      <c r="FO46" s="15">
        <f>FM46</f>
        <v>5.1305659400000021</v>
      </c>
      <c r="FP46" s="15">
        <f>($I46/FO46)/1000</f>
        <v>1.3830105845983917E-2</v>
      </c>
      <c r="FQ46" s="24">
        <f>FN46-FP46+$J46</f>
        <v>-2.1125314526957338E-2</v>
      </c>
      <c r="FR46" s="16">
        <f>FQ46/$D46</f>
        <v>-2.1125314526957338E-2</v>
      </c>
      <c r="FS46" s="14">
        <f>FN46*$AD$11</f>
        <v>26.419503363976215</v>
      </c>
      <c r="FT46" s="14">
        <f>FP46*$M46*$AE$7*$E$11</f>
        <v>103.61025922012624</v>
      </c>
      <c r="FU46" s="14">
        <f>FS46-FT46+$K46</f>
        <v>-229.03275585615006</v>
      </c>
      <c r="FV46" s="44">
        <f>FU46/$D46</f>
        <v>-229.03275585615006</v>
      </c>
      <c r="FW46" s="43">
        <f>89+10</f>
        <v>99</v>
      </c>
      <c r="FX46" s="15">
        <f>0.00000491*FW46^3-0.00107023*FW46^2-0.03013591*FW46+15.74788397</f>
        <v>7.0392727400000012</v>
      </c>
      <c r="FY46" s="15">
        <f>$G$22/(FX46*1000)</f>
        <v>6.7817865827152863E-3</v>
      </c>
      <c r="FZ46" s="15">
        <f>FX46</f>
        <v>7.0392727400000012</v>
      </c>
      <c r="GA46" s="15">
        <f>($I46/FZ46)/1000</f>
        <v>1.0080056934972517E-2</v>
      </c>
      <c r="GB46" s="24">
        <f>FY46-GA46+$J46</f>
        <v>-1.9898270352257233E-2</v>
      </c>
      <c r="GC46" s="16">
        <f>GB46/$D46</f>
        <v>-1.9898270352257233E-2</v>
      </c>
      <c r="GD46" s="14">
        <f>FY46*$AE$11</f>
        <v>21.248516804791816</v>
      </c>
      <c r="GE46" s="14">
        <f>GA46*$M46*$AF$7*$E$11</f>
        <v>63.113606036284814</v>
      </c>
      <c r="GF46" s="14">
        <f>GD46-GE46+$K46</f>
        <v>-193.70708923149306</v>
      </c>
      <c r="GG46" s="44">
        <f>GF46/$D46</f>
        <v>-193.70708923149306</v>
      </c>
    </row>
    <row r="47" spans="2:202" ht="13.8" x14ac:dyDescent="0.25">
      <c r="B47" s="35"/>
      <c r="C47" s="9"/>
      <c r="D47" s="9"/>
      <c r="E47" s="9"/>
      <c r="F47" s="9"/>
      <c r="G47" s="175"/>
      <c r="H47" s="9"/>
      <c r="I47" s="175"/>
      <c r="J47" s="176"/>
      <c r="K47" s="176"/>
      <c r="L47" s="36"/>
      <c r="M47" s="77"/>
      <c r="N47" s="48"/>
      <c r="O47" s="21"/>
      <c r="P47" s="9"/>
      <c r="Q47" s="21"/>
      <c r="R47" s="9"/>
      <c r="S47" s="27"/>
      <c r="T47" s="9"/>
      <c r="U47" s="9"/>
      <c r="V47" s="9"/>
      <c r="W47" s="9"/>
      <c r="X47" s="49"/>
      <c r="Y47" s="48"/>
      <c r="Z47" s="21"/>
      <c r="AA47" s="9"/>
      <c r="AB47" s="21"/>
      <c r="AC47" s="9"/>
      <c r="AD47" s="27"/>
      <c r="AE47" s="9"/>
      <c r="AF47" s="9"/>
      <c r="AG47" s="9"/>
      <c r="AH47" s="9"/>
      <c r="AI47" s="49"/>
      <c r="AJ47" s="48"/>
      <c r="AK47" s="21"/>
      <c r="AL47" s="9"/>
      <c r="AM47" s="21"/>
      <c r="AN47" s="9"/>
      <c r="AO47" s="27"/>
      <c r="AP47" s="9"/>
      <c r="AQ47" s="9"/>
      <c r="AR47" s="9"/>
      <c r="AS47" s="9"/>
      <c r="AT47" s="49"/>
      <c r="AU47" s="48"/>
      <c r="AV47" s="21"/>
      <c r="AW47" s="9"/>
      <c r="AX47" s="21"/>
      <c r="AY47" s="9"/>
      <c r="AZ47" s="27"/>
      <c r="BA47" s="9"/>
      <c r="BB47" s="9"/>
      <c r="BC47" s="9"/>
      <c r="BD47" s="9"/>
      <c r="BE47" s="49"/>
      <c r="BF47" s="48"/>
      <c r="BG47" s="21"/>
      <c r="BH47" s="9"/>
      <c r="BI47" s="21"/>
      <c r="BJ47" s="9"/>
      <c r="BK47" s="27"/>
      <c r="BL47" s="9"/>
      <c r="BM47" s="9"/>
      <c r="BN47" s="9"/>
      <c r="BO47" s="9"/>
      <c r="BP47" s="49"/>
      <c r="BQ47" s="48"/>
      <c r="BR47" s="21"/>
      <c r="BS47" s="9"/>
      <c r="BT47" s="21"/>
      <c r="BU47" s="9"/>
      <c r="BV47" s="27"/>
      <c r="BW47" s="9"/>
      <c r="BX47" s="9"/>
      <c r="BY47" s="9"/>
      <c r="BZ47" s="9"/>
      <c r="CA47" s="49"/>
      <c r="CB47" s="48"/>
      <c r="CC47" s="21"/>
      <c r="CD47" s="9"/>
      <c r="CE47" s="21"/>
      <c r="CF47" s="9"/>
      <c r="CG47" s="27"/>
      <c r="CH47" s="9"/>
      <c r="CI47" s="9"/>
      <c r="CJ47" s="9"/>
      <c r="CK47" s="9"/>
      <c r="CL47" s="49"/>
      <c r="CM47" s="48"/>
      <c r="CN47" s="21"/>
      <c r="CO47" s="9"/>
      <c r="CP47" s="21"/>
      <c r="CQ47" s="9"/>
      <c r="CR47" s="27"/>
      <c r="CS47" s="9"/>
      <c r="CT47" s="9"/>
      <c r="CU47" s="9"/>
      <c r="CV47" s="9"/>
      <c r="CW47" s="49"/>
      <c r="CX47" s="48"/>
      <c r="CY47" s="21"/>
      <c r="CZ47" s="9"/>
      <c r="DA47" s="21"/>
      <c r="DB47" s="9"/>
      <c r="DC47" s="27"/>
      <c r="DD47" s="9"/>
      <c r="DE47" s="9"/>
      <c r="DF47" s="9"/>
      <c r="DG47" s="9"/>
      <c r="DH47" s="49"/>
      <c r="DI47" s="48"/>
      <c r="DJ47" s="21"/>
      <c r="DK47" s="9"/>
      <c r="DL47" s="21"/>
      <c r="DM47" s="9"/>
      <c r="DN47" s="27"/>
      <c r="DO47" s="9"/>
      <c r="DP47" s="9"/>
      <c r="DQ47" s="9"/>
      <c r="DR47" s="9"/>
      <c r="DS47" s="49"/>
      <c r="DT47" s="48"/>
      <c r="DU47" s="21"/>
      <c r="DV47" s="9"/>
      <c r="DW47" s="21"/>
      <c r="DX47" s="9"/>
      <c r="DY47" s="27"/>
      <c r="DZ47" s="9"/>
      <c r="EA47" s="9"/>
      <c r="EB47" s="9"/>
      <c r="EC47" s="9"/>
      <c r="ED47" s="49"/>
      <c r="EE47" s="48"/>
      <c r="EF47" s="21"/>
      <c r="EG47" s="9"/>
      <c r="EH47" s="21"/>
      <c r="EI47" s="9"/>
      <c r="EJ47" s="27"/>
      <c r="EK47" s="9"/>
      <c r="EL47" s="9"/>
      <c r="EM47" s="9"/>
      <c r="EN47" s="9"/>
      <c r="EO47" s="49"/>
      <c r="EP47" s="48"/>
      <c r="EQ47" s="21"/>
      <c r="ER47" s="9"/>
      <c r="ES47" s="21"/>
      <c r="ET47" s="9"/>
      <c r="EU47" s="27"/>
      <c r="EV47" s="9"/>
      <c r="EW47" s="9"/>
      <c r="EX47" s="9"/>
      <c r="EY47" s="9"/>
      <c r="EZ47" s="49"/>
      <c r="FA47" s="48"/>
      <c r="FB47" s="21"/>
      <c r="FC47" s="9"/>
      <c r="FD47" s="21"/>
      <c r="FE47" s="9"/>
      <c r="FF47" s="27"/>
      <c r="FG47" s="9"/>
      <c r="FH47" s="9"/>
      <c r="FI47" s="9"/>
      <c r="FJ47" s="9"/>
      <c r="FK47" s="49"/>
      <c r="FL47" s="48"/>
      <c r="FM47" s="21"/>
      <c r="FN47" s="9"/>
      <c r="FO47" s="21"/>
      <c r="FP47" s="9"/>
      <c r="FQ47" s="27"/>
      <c r="FR47" s="9"/>
      <c r="FS47" s="9"/>
      <c r="FT47" s="9"/>
      <c r="FU47" s="9"/>
      <c r="FV47" s="49"/>
      <c r="FW47" s="48"/>
      <c r="FX47" s="21"/>
      <c r="FY47" s="9"/>
      <c r="FZ47" s="21"/>
      <c r="GA47" s="9"/>
      <c r="GB47" s="27"/>
      <c r="GC47" s="9"/>
      <c r="GD47" s="9"/>
      <c r="GE47" s="9"/>
      <c r="GF47" s="9"/>
      <c r="GG47" s="49"/>
    </row>
    <row r="48" spans="2:202" x14ac:dyDescent="0.25">
      <c r="M48" s="83"/>
      <c r="N48" s="17"/>
      <c r="U48" s="268" t="s">
        <v>127</v>
      </c>
      <c r="V48" s="268"/>
    </row>
    <row r="49" spans="13:111" x14ac:dyDescent="0.25">
      <c r="M49" s="83"/>
      <c r="N49" s="17"/>
      <c r="DC49" s="114"/>
      <c r="DG49" s="17">
        <f>DE38-DF38</f>
        <v>32.973999546432751</v>
      </c>
    </row>
    <row r="50" spans="13:111" x14ac:dyDescent="0.25">
      <c r="M50" s="83"/>
      <c r="N50" s="17"/>
      <c r="DC50" s="114"/>
      <c r="DG50" s="17">
        <f t="shared" ref="DG50:DG56" si="4">DE41-DF41</f>
        <v>0</v>
      </c>
    </row>
    <row r="51" spans="13:111" x14ac:dyDescent="0.25">
      <c r="M51" s="83"/>
      <c r="DC51" s="114"/>
      <c r="DG51" s="17">
        <f t="shared" si="4"/>
        <v>12.293253367527115</v>
      </c>
    </row>
    <row r="52" spans="13:111" x14ac:dyDescent="0.25">
      <c r="M52" s="83"/>
      <c r="DC52" s="114"/>
      <c r="DG52" s="17">
        <f t="shared" si="4"/>
        <v>19.791449894678756</v>
      </c>
    </row>
    <row r="53" spans="13:111" x14ac:dyDescent="0.25">
      <c r="M53" s="83"/>
      <c r="DC53" s="114"/>
      <c r="DG53" s="17">
        <f t="shared" si="4"/>
        <v>0</v>
      </c>
    </row>
    <row r="54" spans="13:111" x14ac:dyDescent="0.25">
      <c r="M54" s="83"/>
      <c r="DC54" s="114"/>
      <c r="DG54" s="17">
        <f t="shared" si="4"/>
        <v>-33.298732943207469</v>
      </c>
    </row>
    <row r="55" spans="13:111" x14ac:dyDescent="0.25">
      <c r="DC55" s="114"/>
      <c r="DG55" s="17">
        <f t="shared" si="4"/>
        <v>-53.609096379858343</v>
      </c>
    </row>
    <row r="56" spans="13:111" x14ac:dyDescent="0.25">
      <c r="DG56" s="17">
        <f t="shared" si="4"/>
        <v>0</v>
      </c>
    </row>
  </sheetData>
  <sheetProtection selectLockedCells="1" selectUnlockedCells="1"/>
  <mergeCells count="29">
    <mergeCell ref="Y14:AI15"/>
    <mergeCell ref="U48:V48"/>
    <mergeCell ref="B14:B17"/>
    <mergeCell ref="C14:C16"/>
    <mergeCell ref="D14:D16"/>
    <mergeCell ref="E14:E16"/>
    <mergeCell ref="N14:X15"/>
    <mergeCell ref="F14:F16"/>
    <mergeCell ref="CM14:CW15"/>
    <mergeCell ref="CX14:DH15"/>
    <mergeCell ref="DI14:DS15"/>
    <mergeCell ref="DT14:ED15"/>
    <mergeCell ref="G14:G16"/>
    <mergeCell ref="M14:M16"/>
    <mergeCell ref="J14:J16"/>
    <mergeCell ref="K14:K16"/>
    <mergeCell ref="AU14:BE15"/>
    <mergeCell ref="BF14:BP15"/>
    <mergeCell ref="H14:H16"/>
    <mergeCell ref="I14:I16"/>
    <mergeCell ref="L14:L16"/>
    <mergeCell ref="AJ14:AT15"/>
    <mergeCell ref="BQ14:CA15"/>
    <mergeCell ref="CB14:CL15"/>
    <mergeCell ref="FW14:GG15"/>
    <mergeCell ref="EE14:EO15"/>
    <mergeCell ref="EP14:EZ15"/>
    <mergeCell ref="FA14:FK15"/>
    <mergeCell ref="FL14:FV15"/>
  </mergeCells>
  <phoneticPr fontId="13" type="noConversion"/>
  <pageMargins left="0.75" right="0.75" top="1" bottom="1" header="0.5" footer="0.5"/>
  <pageSetup paperSize="3" scale="11" fitToWidth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89"/>
  <sheetViews>
    <sheetView zoomScaleNormal="100" workbookViewId="0">
      <selection activeCell="AO53" sqref="AO53"/>
    </sheetView>
  </sheetViews>
  <sheetFormatPr defaultRowHeight="13.2" x14ac:dyDescent="0.25"/>
  <cols>
    <col min="1" max="1" width="3.44140625" customWidth="1"/>
    <col min="2" max="2" width="8" customWidth="1"/>
    <col min="3" max="3" width="27.5546875" customWidth="1"/>
    <col min="4" max="4" width="10.5546875" customWidth="1"/>
    <col min="5" max="40" width="11.6640625" hidden="1" customWidth="1"/>
    <col min="41" max="42" width="11.6640625" customWidth="1"/>
    <col min="43" max="44" width="11.6640625" hidden="1" customWidth="1"/>
    <col min="45" max="46" width="0" hidden="1" customWidth="1"/>
    <col min="47" max="48" width="9.109375" hidden="1" customWidth="1"/>
    <col min="51" max="52" width="9.109375" hidden="1" customWidth="1"/>
    <col min="53" max="54" width="0" hidden="1" customWidth="1"/>
    <col min="55" max="56" width="9.109375" hidden="1" customWidth="1"/>
    <col min="59" max="60" width="9.109375" hidden="1" customWidth="1"/>
    <col min="63" max="64" width="9.109375" customWidth="1"/>
  </cols>
  <sheetData>
    <row r="2" spans="2:64" x14ac:dyDescent="0.25">
      <c r="C2" t="s">
        <v>137</v>
      </c>
      <c r="AS2" s="165" t="s">
        <v>140</v>
      </c>
    </row>
    <row r="3" spans="2:64" ht="13.8" thickBot="1" x14ac:dyDescent="0.3">
      <c r="AO3" s="162"/>
      <c r="AP3" s="162"/>
      <c r="AQ3" s="160"/>
      <c r="AR3" s="160"/>
      <c r="AS3" s="162"/>
      <c r="AT3" s="162"/>
      <c r="AU3" s="160"/>
      <c r="AV3" s="160"/>
      <c r="AW3" s="162"/>
      <c r="AX3" s="162"/>
      <c r="AY3" s="160"/>
      <c r="AZ3" s="160"/>
      <c r="BA3" s="162"/>
      <c r="BB3" s="162"/>
      <c r="BC3" s="160"/>
      <c r="BD3" s="160"/>
      <c r="BE3" s="162"/>
      <c r="BF3" s="162"/>
      <c r="BG3" s="160"/>
      <c r="BH3" s="160"/>
      <c r="BI3" s="162"/>
      <c r="BJ3" s="162"/>
      <c r="BK3" s="160"/>
      <c r="BL3" s="160"/>
    </row>
    <row r="4" spans="2:64" ht="26.25" customHeight="1" x14ac:dyDescent="0.25">
      <c r="B4" s="316" t="s">
        <v>48</v>
      </c>
      <c r="C4" s="319" t="s">
        <v>139</v>
      </c>
      <c r="D4" s="322" t="s">
        <v>13</v>
      </c>
      <c r="E4" s="312" t="str">
        <f>DI_EEM_Savings_16CTZ!B20</f>
        <v xml:space="preserve">Grocery </v>
      </c>
      <c r="F4" s="307"/>
      <c r="G4" s="307" t="str">
        <f>DI_EEM_Savings_16CTZ!B20</f>
        <v xml:space="preserve">Grocery </v>
      </c>
      <c r="H4" s="313"/>
      <c r="I4" s="312" t="str">
        <f>DI_EEM_Savings_16CTZ!B23</f>
        <v>Grocery</v>
      </c>
      <c r="J4" s="307"/>
      <c r="K4" s="306" t="str">
        <f>DI_EEM_Savings_16CTZ!B23</f>
        <v>Grocery</v>
      </c>
      <c r="L4" s="313"/>
      <c r="M4" s="312" t="str">
        <f>DI_EEM_Savings_16CTZ!B23</f>
        <v>Grocery</v>
      </c>
      <c r="N4" s="307"/>
      <c r="O4" s="306" t="str">
        <f>DI_EEM_Savings_16CTZ!B23</f>
        <v>Grocery</v>
      </c>
      <c r="P4" s="313"/>
      <c r="Q4" s="312" t="str">
        <f>DI_EEM_Savings_16CTZ!B28</f>
        <v>Grocery</v>
      </c>
      <c r="R4" s="307"/>
      <c r="S4" s="307" t="str">
        <f>DI_EEM_Savings_16CTZ!B28</f>
        <v>Grocery</v>
      </c>
      <c r="T4" s="308"/>
      <c r="U4" s="312" t="str">
        <f>DI_EEM_Savings_16CTZ!B31</f>
        <v>Grocery</v>
      </c>
      <c r="V4" s="307"/>
      <c r="W4" s="307" t="str">
        <f>DI_EEM_Savings_16CTZ!B31</f>
        <v>Grocery</v>
      </c>
      <c r="X4" s="313"/>
      <c r="Y4" s="306" t="str">
        <f>DI_EEM_Savings_16CTZ!B36</f>
        <v>Grocery</v>
      </c>
      <c r="Z4" s="307"/>
      <c r="AA4" s="307" t="str">
        <f>DI_EEM_Savings_16CTZ!B36</f>
        <v>Grocery</v>
      </c>
      <c r="AB4" s="307"/>
      <c r="AC4" s="312" t="str">
        <f>DI_EEM_Savings_16CTZ!B36</f>
        <v>Grocery</v>
      </c>
      <c r="AD4" s="307"/>
      <c r="AE4" s="306" t="str">
        <f>DI_EEM_Savings_16CTZ!B36</f>
        <v>Grocery</v>
      </c>
      <c r="AF4" s="313"/>
      <c r="AG4" s="307" t="str">
        <f>DI_EEM_Savings_16CTZ!B41</f>
        <v>Grocery</v>
      </c>
      <c r="AH4" s="307"/>
      <c r="AI4" s="307" t="str">
        <f>DI_EEM_Savings_16CTZ!B41</f>
        <v>Grocery</v>
      </c>
      <c r="AJ4" s="307"/>
      <c r="AK4" s="306" t="str">
        <f>DI_EEM_Savings_16CTZ!B44</f>
        <v>Grocery</v>
      </c>
      <c r="AL4" s="307"/>
      <c r="AM4" s="307" t="str">
        <f>DI_EEM_Savings_16CTZ!B44</f>
        <v>Grocery</v>
      </c>
      <c r="AN4" s="308"/>
      <c r="AO4" s="302" t="s">
        <v>162</v>
      </c>
      <c r="AP4" s="303"/>
      <c r="AQ4" s="304" t="s">
        <v>162</v>
      </c>
      <c r="AR4" s="305"/>
      <c r="AS4" s="298" t="s">
        <v>163</v>
      </c>
      <c r="AT4" s="299"/>
      <c r="AU4" s="296" t="s">
        <v>163</v>
      </c>
      <c r="AV4" s="297"/>
      <c r="AW4" s="298" t="s">
        <v>164</v>
      </c>
      <c r="AX4" s="299"/>
      <c r="AY4" s="296" t="s">
        <v>164</v>
      </c>
      <c r="AZ4" s="297"/>
      <c r="BA4" s="298" t="s">
        <v>165</v>
      </c>
      <c r="BB4" s="299"/>
      <c r="BC4" s="296" t="s">
        <v>165</v>
      </c>
      <c r="BD4" s="297"/>
      <c r="BE4" s="298" t="s">
        <v>166</v>
      </c>
      <c r="BF4" s="299"/>
      <c r="BG4" s="296" t="s">
        <v>166</v>
      </c>
      <c r="BH4" s="297"/>
      <c r="BI4" s="298" t="s">
        <v>213</v>
      </c>
      <c r="BJ4" s="299"/>
      <c r="BK4" s="296" t="s">
        <v>166</v>
      </c>
      <c r="BL4" s="297"/>
    </row>
    <row r="5" spans="2:64" ht="30" customHeight="1" x14ac:dyDescent="0.25">
      <c r="B5" s="317"/>
      <c r="C5" s="320"/>
      <c r="D5" s="323"/>
      <c r="E5" s="314" t="str">
        <f>DI_EEM_Savings_16CTZ!B21</f>
        <v>MT, (2)T12 to LED Canopy</v>
      </c>
      <c r="F5" s="310"/>
      <c r="G5" s="310" t="str">
        <f>DI_EEM_Savings_16CTZ!B22</f>
        <v>LT, (2)T12 to LED Canopy</v>
      </c>
      <c r="H5" s="315"/>
      <c r="I5" s="314" t="str">
        <f>DI_EEM_Savings_16CTZ!B24</f>
        <v>MT, (1)T12 to LED Canopy</v>
      </c>
      <c r="J5" s="310"/>
      <c r="K5" s="309" t="str">
        <f>DI_EEM_Savings_16CTZ!B25</f>
        <v>LT, (1)T12 to LED Canopy</v>
      </c>
      <c r="L5" s="315"/>
      <c r="M5" s="314" t="str">
        <f>DI_EEM_Savings_16CTZ!B26</f>
        <v>MT, (2)T8 to LED Canopy</v>
      </c>
      <c r="N5" s="310"/>
      <c r="O5" s="309" t="str">
        <f>DI_EEM_Savings_16CTZ!B27</f>
        <v>LT, (2)T8 to LED Canopy</v>
      </c>
      <c r="P5" s="315"/>
      <c r="Q5" s="314" t="str">
        <f>DI_EEM_Savings_16CTZ!B29</f>
        <v>MT, (1)T8 to LED Canopy</v>
      </c>
      <c r="R5" s="310"/>
      <c r="S5" s="310" t="str">
        <f>DI_EEM_Savings_16CTZ!B30</f>
        <v>LT, (1)T8 to LED Canopy</v>
      </c>
      <c r="T5" s="311"/>
      <c r="U5" s="314" t="str">
        <f>DI_EEM_Savings_16CTZ!B32</f>
        <v>MT, T12 to CC retrofit</v>
      </c>
      <c r="V5" s="310"/>
      <c r="W5" s="310" t="str">
        <f>DI_EEM_Savings_16CTZ!B33</f>
        <v>LT, T12 to CC retrofit</v>
      </c>
      <c r="X5" s="315"/>
      <c r="Y5" s="309" t="str">
        <f>DI_EEM_Savings_16CTZ!B37</f>
        <v>MT, (1)T12 to LED Shelf</v>
      </c>
      <c r="Z5" s="310"/>
      <c r="AA5" s="310" t="str">
        <f>DI_EEM_Savings_16CTZ!B38</f>
        <v>LT, (1)T12 to LED Shelf</v>
      </c>
      <c r="AB5" s="310"/>
      <c r="AC5" s="314" t="str">
        <f>DI_EEM_Savings_16CTZ!B39</f>
        <v>MT, (1)T8 to LED Shelf</v>
      </c>
      <c r="AD5" s="310"/>
      <c r="AE5" s="309" t="str">
        <f>DI_EEM_Savings_16CTZ!B40</f>
        <v>LT, (1)T8 to LED Shelf</v>
      </c>
      <c r="AF5" s="315"/>
      <c r="AG5" s="310" t="str">
        <f>DI_EEM_Savings_16CTZ!B42</f>
        <v>MT, T8 to FO retrofit</v>
      </c>
      <c r="AH5" s="310"/>
      <c r="AI5" s="310" t="str">
        <f>DI_EEM_Savings_16CTZ!B43</f>
        <v>LT, T8 to FO retrofit</v>
      </c>
      <c r="AJ5" s="310"/>
      <c r="AK5" s="309" t="str">
        <f>DI_EEM_Savings_16CTZ!B45</f>
        <v>MT, T8 to CC retrofit</v>
      </c>
      <c r="AL5" s="310"/>
      <c r="AM5" s="310" t="str">
        <f>DI_EEM_Savings_16CTZ!B46</f>
        <v>LT, T8 to CC retrofit</v>
      </c>
      <c r="AN5" s="311"/>
      <c r="AO5" s="301" t="s">
        <v>62</v>
      </c>
      <c r="AP5" s="301"/>
      <c r="AQ5" s="300" t="s">
        <v>63</v>
      </c>
      <c r="AR5" s="300"/>
      <c r="AS5" s="301" t="s">
        <v>62</v>
      </c>
      <c r="AT5" s="301"/>
      <c r="AU5" s="300" t="s">
        <v>63</v>
      </c>
      <c r="AV5" s="300"/>
      <c r="AW5" s="301" t="s">
        <v>62</v>
      </c>
      <c r="AX5" s="301"/>
      <c r="AY5" s="300" t="s">
        <v>63</v>
      </c>
      <c r="AZ5" s="300"/>
      <c r="BA5" s="301" t="s">
        <v>62</v>
      </c>
      <c r="BB5" s="301"/>
      <c r="BC5" s="300" t="s">
        <v>63</v>
      </c>
      <c r="BD5" s="300"/>
      <c r="BE5" s="301" t="s">
        <v>62</v>
      </c>
      <c r="BF5" s="301"/>
      <c r="BG5" s="300" t="s">
        <v>63</v>
      </c>
      <c r="BH5" s="300"/>
      <c r="BI5" s="301" t="s">
        <v>62</v>
      </c>
      <c r="BJ5" s="301"/>
      <c r="BK5" s="300" t="s">
        <v>63</v>
      </c>
      <c r="BL5" s="300"/>
    </row>
    <row r="6" spans="2:64" ht="39.9" customHeight="1" x14ac:dyDescent="0.25">
      <c r="B6" s="318"/>
      <c r="C6" s="321"/>
      <c r="D6" s="324"/>
      <c r="E6" s="69" t="s">
        <v>60</v>
      </c>
      <c r="F6" s="65" t="s">
        <v>61</v>
      </c>
      <c r="G6" s="65" t="s">
        <v>60</v>
      </c>
      <c r="H6" s="99" t="s">
        <v>61</v>
      </c>
      <c r="I6" s="69" t="s">
        <v>60</v>
      </c>
      <c r="J6" s="65" t="s">
        <v>61</v>
      </c>
      <c r="K6" s="103" t="s">
        <v>60</v>
      </c>
      <c r="L6" s="99" t="s">
        <v>61</v>
      </c>
      <c r="M6" s="69" t="s">
        <v>60</v>
      </c>
      <c r="N6" s="65" t="s">
        <v>61</v>
      </c>
      <c r="O6" s="103" t="s">
        <v>60</v>
      </c>
      <c r="P6" s="99" t="s">
        <v>61</v>
      </c>
      <c r="Q6" s="69" t="s">
        <v>60</v>
      </c>
      <c r="R6" s="65" t="s">
        <v>61</v>
      </c>
      <c r="S6" s="65" t="s">
        <v>60</v>
      </c>
      <c r="T6" s="112" t="s">
        <v>61</v>
      </c>
      <c r="U6" s="69" t="s">
        <v>60</v>
      </c>
      <c r="V6" s="65" t="s">
        <v>61</v>
      </c>
      <c r="W6" s="65" t="s">
        <v>60</v>
      </c>
      <c r="X6" s="99" t="s">
        <v>61</v>
      </c>
      <c r="Y6" s="103" t="s">
        <v>60</v>
      </c>
      <c r="Z6" s="65" t="s">
        <v>61</v>
      </c>
      <c r="AA6" s="65" t="s">
        <v>60</v>
      </c>
      <c r="AB6" s="65" t="s">
        <v>61</v>
      </c>
      <c r="AC6" s="69" t="s">
        <v>60</v>
      </c>
      <c r="AD6" s="65" t="s">
        <v>61</v>
      </c>
      <c r="AE6" s="103" t="s">
        <v>60</v>
      </c>
      <c r="AF6" s="99" t="s">
        <v>61</v>
      </c>
      <c r="AG6" s="65" t="s">
        <v>60</v>
      </c>
      <c r="AH6" s="65" t="s">
        <v>61</v>
      </c>
      <c r="AI6" s="65" t="s">
        <v>60</v>
      </c>
      <c r="AJ6" s="65" t="s">
        <v>61</v>
      </c>
      <c r="AK6" s="103" t="s">
        <v>60</v>
      </c>
      <c r="AL6" s="65" t="s">
        <v>61</v>
      </c>
      <c r="AM6" s="65" t="s">
        <v>60</v>
      </c>
      <c r="AN6" s="112" t="s">
        <v>61</v>
      </c>
      <c r="AO6" s="163" t="s">
        <v>215</v>
      </c>
      <c r="AP6" s="163" t="s">
        <v>216</v>
      </c>
      <c r="AQ6" s="161" t="s">
        <v>215</v>
      </c>
      <c r="AR6" s="161" t="s">
        <v>216</v>
      </c>
      <c r="AS6" s="163" t="s">
        <v>217</v>
      </c>
      <c r="AT6" s="163" t="s">
        <v>216</v>
      </c>
      <c r="AU6" s="161" t="s">
        <v>217</v>
      </c>
      <c r="AV6" s="161" t="s">
        <v>216</v>
      </c>
      <c r="AW6" s="163" t="s">
        <v>218</v>
      </c>
      <c r="AX6" s="163" t="s">
        <v>219</v>
      </c>
      <c r="AY6" s="161" t="s">
        <v>218</v>
      </c>
      <c r="AZ6" s="161" t="s">
        <v>219</v>
      </c>
      <c r="BA6" s="163" t="s">
        <v>220</v>
      </c>
      <c r="BB6" s="163" t="s">
        <v>219</v>
      </c>
      <c r="BC6" s="161" t="s">
        <v>220</v>
      </c>
      <c r="BD6" s="161" t="s">
        <v>219</v>
      </c>
      <c r="BE6" s="163" t="s">
        <v>217</v>
      </c>
      <c r="BF6" s="163" t="s">
        <v>216</v>
      </c>
      <c r="BG6" s="161" t="s">
        <v>217</v>
      </c>
      <c r="BH6" s="161" t="s">
        <v>216</v>
      </c>
      <c r="BI6" s="163" t="s">
        <v>220</v>
      </c>
      <c r="BJ6" s="163" t="s">
        <v>216</v>
      </c>
      <c r="BK6" s="161" t="s">
        <v>161</v>
      </c>
      <c r="BL6" s="161" t="s">
        <v>160</v>
      </c>
    </row>
    <row r="7" spans="2:64" ht="15.6" x14ac:dyDescent="0.25">
      <c r="B7" s="70">
        <v>1</v>
      </c>
      <c r="C7" s="66" t="s">
        <v>49</v>
      </c>
      <c r="D7" s="105" t="str">
        <f>DI_EEM_Savings_16CTZ!C21</f>
        <v>/Fixture</v>
      </c>
      <c r="E7" s="71">
        <f>DI_EEM_Savings_16CTZ!$T$21</f>
        <v>6.1182787641412363E-2</v>
      </c>
      <c r="F7" s="68">
        <f>DI_EEM_Savings_16CTZ!$X$21</f>
        <v>286.99162774878107</v>
      </c>
      <c r="G7" s="67">
        <f>DI_EEM_Savings_16CTZ!$T$22</f>
        <v>6.1787961335577617E-2</v>
      </c>
      <c r="H7" s="100">
        <f>DI_EEM_Savings_16CTZ!$X$22</f>
        <v>288.84458302997734</v>
      </c>
      <c r="I7" s="71">
        <f>DI_EEM_Savings_16CTZ!$T$24</f>
        <v>4.6860037689916041E-2</v>
      </c>
      <c r="J7" s="68">
        <f>DI_EEM_Savings_16CTZ!$X$24</f>
        <v>215.79552811048546</v>
      </c>
      <c r="K7" s="104">
        <f>DI_EEM_Savings_16CTZ!$T$25</f>
        <v>4.808060522617176E-2</v>
      </c>
      <c r="L7" s="100">
        <f>DI_EEM_Savings_16CTZ!$X$25</f>
        <v>219.11383882726307</v>
      </c>
      <c r="M7" s="71">
        <f>DI_EEM_Savings_16CTZ!$T$26</f>
        <v>3.1271116229494772E-2</v>
      </c>
      <c r="N7" s="68">
        <f>DI_EEM_Savings_16CTZ!$X$26</f>
        <v>147.57356000362066</v>
      </c>
      <c r="O7" s="104">
        <f>DI_EEM_Savings_16CTZ!$T$27</f>
        <v>3.1436872314665298E-2</v>
      </c>
      <c r="P7" s="100">
        <f>DI_EEM_Savings_16CTZ!$X$27</f>
        <v>148.18174713395726</v>
      </c>
      <c r="Q7" s="71">
        <f>DI_EEM_Savings_16CTZ!$T$29</f>
        <v>8.2848637126934285E-3</v>
      </c>
      <c r="R7" s="68">
        <f>DI_EEM_Savings_16CTZ!$X$29</f>
        <v>39.306587641154117</v>
      </c>
      <c r="S7" s="67">
        <f>DI_EEM_Savings_16CTZ!$T$30</f>
        <v>8.4537798002363267E-3</v>
      </c>
      <c r="T7" s="113">
        <f>DI_EEM_Savings_16CTZ!$X$30</f>
        <v>39.925182584006848</v>
      </c>
      <c r="U7" s="71">
        <f>DI_EEM_Savings_16CTZ!$T$32</f>
        <v>3.1960534828969628E-2</v>
      </c>
      <c r="V7" s="68">
        <f>DI_EEM_Savings_16CTZ!$X$32</f>
        <v>70.84332137284261</v>
      </c>
      <c r="W7" s="67">
        <f>DI_EEM_Savings_16CTZ!$T$33</f>
        <v>3.1399798320594065E-2</v>
      </c>
      <c r="X7" s="100">
        <f>DI_EEM_Savings_16CTZ!$X$33</f>
        <v>67.949454861342872</v>
      </c>
      <c r="Y7" s="104">
        <f>DI_EEM_Savings_16CTZ!$T$37</f>
        <v>5.6805820544278948E-2</v>
      </c>
      <c r="Z7" s="68">
        <f>DI_EEM_Savings_16CTZ!$X$37</f>
        <v>258.09578084731129</v>
      </c>
      <c r="AA7" s="67">
        <f>DI_EEM_Savings_16CTZ!$T$38</f>
        <v>5.8331899296339182E-2</v>
      </c>
      <c r="AB7" s="68">
        <f>DI_EEM_Savings_16CTZ!$X$38</f>
        <v>261.69741541228888</v>
      </c>
      <c r="AC7" s="71">
        <f>DI_EEM_Savings_16CTZ!$T$39</f>
        <v>1.8230646567056336E-2</v>
      </c>
      <c r="AD7" s="68">
        <f>DI_EEM_Savings_16CTZ!$X$39</f>
        <v>84.124422883178553</v>
      </c>
      <c r="AE7" s="104">
        <f>DI_EEM_Savings_16CTZ!$T$40</f>
        <v>1.8705073870403741E-2</v>
      </c>
      <c r="AF7" s="100">
        <f>DI_EEM_Savings_16CTZ!$X$40</f>
        <v>85.442072419241427</v>
      </c>
      <c r="AG7" s="67">
        <f>DI_EEM_Savings_16CTZ!$T$42</f>
        <v>2.0128570495775273E-2</v>
      </c>
      <c r="AH7" s="68">
        <f>DI_EEM_Savings_16CTZ!$X$42</f>
        <v>89.60811806581782</v>
      </c>
      <c r="AI7" s="67">
        <f>DI_EEM_Savings_16CTZ!$T$43</f>
        <v>2.1039255405745031E-2</v>
      </c>
      <c r="AJ7" s="68">
        <f>DI_EEM_Savings_16CTZ!$X$43</f>
        <v>91.831295297191502</v>
      </c>
      <c r="AK7" s="104">
        <f>DI_EEM_Savings_16CTZ!$T$45</f>
        <v>-1.9039465171030365E-2</v>
      </c>
      <c r="AL7" s="68">
        <f>DI_EEM_Savings_16CTZ!$X$45</f>
        <v>-188.855470911412</v>
      </c>
      <c r="AM7" s="67">
        <f>DI_EEM_Savings_16CTZ!$T$46</f>
        <v>-1.9600201679405935E-2</v>
      </c>
      <c r="AN7" s="100">
        <f>DI_EEM_Savings_16CTZ!$X$46</f>
        <v>-194.96753985280287</v>
      </c>
      <c r="AO7" s="164">
        <f>'Cooling Load'!$C$19+DI_EEM_Savings_16CTZ!$P$21</f>
        <v>7.9015941811614324E-2</v>
      </c>
      <c r="AP7" s="164">
        <f>'Cooling Load'!$G$19+DI_EEM_Savings_16CTZ!$R$21</f>
        <v>1.7833154170201964E-2</v>
      </c>
      <c r="AQ7" s="159">
        <f>'Cooling Load'!$C$19+DI_EEM_Savings_16CTZ!$P$22</f>
        <v>8.0168908343401971E-2</v>
      </c>
      <c r="AR7" s="159">
        <f>'Cooling Load'!$G$19+DI_EEM_Savings_16CTZ!$R$22</f>
        <v>1.8380947007824361E-2</v>
      </c>
      <c r="AS7" s="164">
        <f>'Cooling Load'!$D$19+DI_EEM_Savings_16CTZ!$P$24</f>
        <v>6.4693191860118002E-2</v>
      </c>
      <c r="AT7" s="164">
        <f>'Cooling Load'!$H$19+DI_EEM_Savings_16CTZ!$R$24</f>
        <v>1.7833154170201967E-2</v>
      </c>
      <c r="AU7" s="159">
        <f>'Cooling Load'!$D$19+DI_EEM_Savings_16CTZ!$P$25</f>
        <v>6.6461552233996121E-2</v>
      </c>
      <c r="AV7" s="159">
        <f>'Cooling Load'!$H$19+DI_EEM_Savings_16CTZ!$R$25</f>
        <v>1.8380947007824361E-2</v>
      </c>
      <c r="AW7" s="164">
        <f>'Cooling Load'!$E$19+DI_EEM_Savings_16CTZ!$P$26</f>
        <v>4.9104270399696739E-2</v>
      </c>
      <c r="AX7" s="164">
        <f>'Cooling Load'!$G$19+DI_EEM_Savings_16CTZ!$R$26</f>
        <v>1.7833154170201967E-2</v>
      </c>
      <c r="AY7" s="159">
        <f>'Cooling Load'!$E$19+DI_EEM_Savings_16CTZ!$P$27</f>
        <v>4.9817819322489659E-2</v>
      </c>
      <c r="AZ7" s="159">
        <f>'Cooling Load'!$G$19+DI_EEM_Savings_16CTZ!$R$27</f>
        <v>1.8380947007824361E-2</v>
      </c>
      <c r="BA7" s="164">
        <f>'Cooling Load'!$F$19+DI_EEM_Savings_16CTZ!$P$29</f>
        <v>2.6118017882895396E-2</v>
      </c>
      <c r="BB7" s="164">
        <f>'Cooling Load'!$H$19+DI_EEM_Savings_16CTZ!$R$29</f>
        <v>1.7833154170201967E-2</v>
      </c>
      <c r="BC7" s="159">
        <f>'Cooling Load'!$F$19+DI_EEM_Savings_16CTZ!$P$38</f>
        <v>3.2461552233996119E-2</v>
      </c>
      <c r="BD7" s="159">
        <f>'Cooling Load'!$H$19+DI_EEM_Savings_16CTZ!$R$38</f>
        <v>1.6746319604323611E-2</v>
      </c>
      <c r="BE7" s="164">
        <f>'Cooling Load'!$D$19+DI_EEM_Savings_16CTZ!$P$37</f>
        <v>6.4693191860118002E-2</v>
      </c>
      <c r="BF7" s="164">
        <f>'Cooling Load'!$I$19+DI_EEM_Savings_16CTZ!$R$37</f>
        <v>7.887371315839057E-3</v>
      </c>
      <c r="BG7" s="159">
        <f>'Cooling Load'!$D$19+DI_EEM_Savings_16CTZ!$P$27</f>
        <v>6.0817819322489662E-2</v>
      </c>
      <c r="BH7" s="159">
        <f>'Cooling Load'!$I$19+DI_EEM_Savings_16CTZ!$R$27</f>
        <v>9.764280341157696E-3</v>
      </c>
      <c r="BI7" s="164">
        <f>'Cooling Load'!$F$19+DI_EEM_Savings_16CTZ!$P$39</f>
        <v>2.6118017882895396E-2</v>
      </c>
      <c r="BJ7" s="164">
        <f>'Cooling Load'!$I$19+DI_EEM_Savings_16CTZ!$R$39</f>
        <v>7.887371315839057E-3</v>
      </c>
      <c r="BK7" s="159">
        <f>'Cooling Load'!$F$19+DI_EEM_Savings_16CTZ!$P$38</f>
        <v>3.2461552233996119E-2</v>
      </c>
      <c r="BL7" s="159">
        <f>'Cooling Load'!$I$19+DI_EEM_Savings_16CTZ!$R$38</f>
        <v>8.1296529376569445E-3</v>
      </c>
    </row>
    <row r="8" spans="2:64" ht="15.6" x14ac:dyDescent="0.25">
      <c r="B8" s="70">
        <v>2</v>
      </c>
      <c r="C8" s="66" t="s">
        <v>50</v>
      </c>
      <c r="D8" s="105" t="str">
        <f t="shared" ref="D8:D22" si="0">$D$7</f>
        <v>/Fixture</v>
      </c>
      <c r="E8" s="71">
        <f>DI_EEM_Savings_16CTZ!$AE$21</f>
        <v>6.2439339069132876E-2</v>
      </c>
      <c r="F8" s="68">
        <f>DI_EEM_Savings_16CTZ!$AI$21</f>
        <v>292.46843550774565</v>
      </c>
      <c r="G8" s="67">
        <f>DI_EEM_Savings_16CTZ!$AE$22</f>
        <v>6.3582858365080736E-2</v>
      </c>
      <c r="H8" s="100">
        <f>DI_EEM_Savings_16CTZ!$AI$22</f>
        <v>296.24062930132766</v>
      </c>
      <c r="I8" s="71">
        <f>DI_EEM_Savings_16CTZ!$AE$24</f>
        <v>4.9394361133083813E-2</v>
      </c>
      <c r="J8" s="68">
        <f>DI_EEM_Savings_16CTZ!$AI$24</f>
        <v>225.60350894236512</v>
      </c>
      <c r="K8" s="104">
        <f>DI_EEM_Savings_16CTZ!$AE$25</f>
        <v>5.1700711430813076E-2</v>
      </c>
      <c r="L8" s="100">
        <f>DI_EEM_Savings_16CTZ!$AI$25</f>
        <v>232.35883175993692</v>
      </c>
      <c r="M8" s="71">
        <f>DI_EEM_Savings_16CTZ!$AE$26</f>
        <v>3.16152836106657E-2</v>
      </c>
      <c r="N8" s="68">
        <f>DI_EEM_Savings_16CTZ!$AI$26</f>
        <v>149.37118784069369</v>
      </c>
      <c r="O8" s="104">
        <f>DI_EEM_Savings_16CTZ!$AE$27</f>
        <v>3.1928491675789428E-2</v>
      </c>
      <c r="P8" s="100">
        <f>DI_EEM_Savings_16CTZ!$AI$27</f>
        <v>150.60931794651637</v>
      </c>
      <c r="Q8" s="71">
        <f>DI_EEM_Savings_16CTZ!$AE$29</f>
        <v>8.6355923597139558E-3</v>
      </c>
      <c r="R8" s="68">
        <f>DI_EEM_Savings_16CTZ!$AI$29</f>
        <v>41.134978006022983</v>
      </c>
      <c r="S8" s="67">
        <f>DI_EEM_Savings_16CTZ!$AE$30</f>
        <v>8.9547714769883033E-3</v>
      </c>
      <c r="T8" s="113">
        <f>DI_EEM_Savings_16CTZ!$AI$30</f>
        <v>42.394296041298965</v>
      </c>
      <c r="U8" s="71">
        <f>DI_EEM_Savings_16CTZ!$AE$32</f>
        <v>3.0796250480579004E-2</v>
      </c>
      <c r="V8" s="68">
        <f>DI_EEM_Savings_16CTZ!$AI$32</f>
        <v>62.289876654329198</v>
      </c>
      <c r="W8" s="67">
        <f>DI_EEM_Savings_16CTZ!$AE$33</f>
        <v>2.97366984487374E-2</v>
      </c>
      <c r="X8" s="100">
        <f>DI_EEM_Savings_16CTZ!$AI$33</f>
        <v>56.398625308486245</v>
      </c>
      <c r="Y8" s="104">
        <f>DI_EEM_Savings_16CTZ!$AE$37</f>
        <v>5.9974491709604914E-2</v>
      </c>
      <c r="Z8" s="68">
        <f>DI_EEM_Savings_16CTZ!$AI$37</f>
        <v>268.74118623329002</v>
      </c>
      <c r="AA8" s="67">
        <f>DI_EEM_Savings_16CTZ!$AE$38</f>
        <v>6.2858127460699478E-2</v>
      </c>
      <c r="AB8" s="68">
        <f>DI_EEM_Savings_16CTZ!$AI$38</f>
        <v>276.07329170320071</v>
      </c>
      <c r="AC8" s="71">
        <f>DI_EEM_Savings_16CTZ!$AE$39</f>
        <v>1.9215722936235052E-2</v>
      </c>
      <c r="AD8" s="68">
        <f>DI_EEM_Savings_16CTZ!$AI$39</f>
        <v>88.019019410109522</v>
      </c>
      <c r="AE8" s="104">
        <f>DI_EEM_Savings_16CTZ!$AE$40</f>
        <v>2.0112187506874699E-2</v>
      </c>
      <c r="AF8" s="100">
        <f>DI_EEM_Savings_16CTZ!$AI$40</f>
        <v>90.701452954238974</v>
      </c>
      <c r="AG8" s="67">
        <f>DI_EEM_Savings_16CTZ!$AE$42</f>
        <v>2.2019469645653978E-2</v>
      </c>
      <c r="AH8" s="68">
        <f>DI_EEM_Savings_16CTZ!$AI$42</f>
        <v>96.179196404243868</v>
      </c>
      <c r="AI8" s="67">
        <f>DI_EEM_Savings_16CTZ!$AE$43</f>
        <v>2.3740274394967127E-2</v>
      </c>
      <c r="AJ8" s="68">
        <f>DI_EEM_Savings_16CTZ!$AI$43</f>
        <v>100.70507754089311</v>
      </c>
      <c r="AK8" s="104">
        <f>DI_EEM_Savings_16CTZ!$AE$45</f>
        <v>-2.0203749519420989E-2</v>
      </c>
      <c r="AL8" s="68">
        <f>DI_EEM_Savings_16CTZ!$AI$45</f>
        <v>-206.92100489446912</v>
      </c>
      <c r="AM8" s="67">
        <f>DI_EEM_Savings_16CTZ!$AE$46</f>
        <v>-2.1263301551262596E-2</v>
      </c>
      <c r="AN8" s="100">
        <f>DI_EEM_Savings_16CTZ!$AI$46</f>
        <v>-219.36378144748738</v>
      </c>
      <c r="AO8" s="164">
        <f>'Cooling Load'!$C$19+DI_EEM_Savings_16CTZ!$AA$21</f>
        <v>8.1409902017750016E-2</v>
      </c>
      <c r="AP8" s="164">
        <f>'Cooling Load'!$G$19+DI_EEM_Savings_16CTZ!$AC$21</f>
        <v>1.8970562948617133E-2</v>
      </c>
      <c r="AQ8" s="159">
        <f>'Cooling Load'!$C$19+DI_EEM_Savings_16CTZ!$AA$22</f>
        <v>8.3588515347101405E-2</v>
      </c>
      <c r="AR8" s="159">
        <f>'Cooling Load'!$G$19+DI_EEM_Savings_16CTZ!$AC$22</f>
        <v>2.0005656982020684E-2</v>
      </c>
      <c r="AS8" s="164">
        <f>'Cooling Load'!$D$19+DI_EEM_Savings_16CTZ!$AA$24</f>
        <v>6.8364924081700945E-2</v>
      </c>
      <c r="AT8" s="164">
        <f>'Cooling Load'!$H$19+DI_EEM_Savings_16CTZ!$AC$24</f>
        <v>1.8970562948617133E-2</v>
      </c>
      <c r="AU8" s="159">
        <f>'Cooling Load'!$D$19+DI_EEM_Savings_16CTZ!$AA$25</f>
        <v>7.1706368412833746E-2</v>
      </c>
      <c r="AV8" s="159">
        <f>'Cooling Load'!$H$19+DI_EEM_Savings_16CTZ!$AC$25</f>
        <v>2.000565698202068E-2</v>
      </c>
      <c r="AW8" s="164">
        <f>'Cooling Load'!$E$19+DI_EEM_Savings_16CTZ!$AA$26</f>
        <v>5.0585846559282832E-2</v>
      </c>
      <c r="AX8" s="164">
        <f>'Cooling Load'!$G$19+DI_EEM_Savings_16CTZ!$AC$26</f>
        <v>1.8970562948617133E-2</v>
      </c>
      <c r="AY8" s="159">
        <f>'Cooling Load'!$E$19+DI_EEM_Savings_16CTZ!$AA$27</f>
        <v>5.1934148657810111E-2</v>
      </c>
      <c r="AZ8" s="159">
        <f>'Cooling Load'!$G$19+DI_EEM_Savings_16CTZ!$AC$27</f>
        <v>2.000565698202068E-2</v>
      </c>
      <c r="BA8" s="164">
        <f>'Cooling Load'!$F$19+DI_EEM_Savings_16CTZ!$AA$29</f>
        <v>2.760615530833109E-2</v>
      </c>
      <c r="BB8" s="164">
        <f>'Cooling Load'!$H$19+DI_EEM_Savings_16CTZ!$AC$29</f>
        <v>1.8970562948617133E-2</v>
      </c>
      <c r="BC8" s="159">
        <f>'Cooling Load'!$F$19+DI_EEM_Savings_16CTZ!$AA$38</f>
        <v>3.770636841283375E-2</v>
      </c>
      <c r="BD8" s="159">
        <f>'Cooling Load'!$H$19+DI_EEM_Savings_16CTZ!$AC$38</f>
        <v>1.7464907618800946E-2</v>
      </c>
      <c r="BE8" s="164">
        <f>'Cooling Load'!$D$19+DI_EEM_Savings_16CTZ!$AA$37</f>
        <v>6.8364924081700945E-2</v>
      </c>
      <c r="BF8" s="164">
        <f>'Cooling Load'!$I$19+DI_EEM_Savings_16CTZ!$AC$37</f>
        <v>8.3904323720960343E-3</v>
      </c>
      <c r="BG8" s="159">
        <f>'Cooling Load'!$D$19+DI_EEM_Savings_16CTZ!$AA$27</f>
        <v>6.2934148657810107E-2</v>
      </c>
      <c r="BH8" s="159">
        <f>'Cooling Load'!$I$19+DI_EEM_Savings_16CTZ!$AC$27</f>
        <v>1.1388990315354014E-2</v>
      </c>
      <c r="BI8" s="164">
        <f>'Cooling Load'!$F$19+DI_EEM_Savings_16CTZ!$AA$39</f>
        <v>2.760615530833109E-2</v>
      </c>
      <c r="BJ8" s="164">
        <f>'Cooling Load'!$I$19+DI_EEM_Savings_16CTZ!$AC$39</f>
        <v>8.3904323720960343E-3</v>
      </c>
      <c r="BK8" s="159">
        <f>'Cooling Load'!$F$19+DI_EEM_Savings_16CTZ!$AA$38</f>
        <v>3.770636841283375E-2</v>
      </c>
      <c r="BL8" s="159">
        <f>'Cooling Load'!$I$19+DI_EEM_Savings_16CTZ!$AC$38</f>
        <v>8.8482409521342814E-3</v>
      </c>
    </row>
    <row r="9" spans="2:64" ht="15.6" x14ac:dyDescent="0.25">
      <c r="B9" s="70">
        <v>3</v>
      </c>
      <c r="C9" s="66" t="s">
        <v>51</v>
      </c>
      <c r="D9" s="105" t="str">
        <f t="shared" si="0"/>
        <v>/Fixture</v>
      </c>
      <c r="E9" s="71">
        <f>DI_EEM_Savings_16CTZ!$AP$21</f>
        <v>6.2043219820085968E-2</v>
      </c>
      <c r="F9" s="68">
        <f>DI_EEM_Savings_16CTZ!$AT$21</f>
        <v>290.5543680739533</v>
      </c>
      <c r="G9" s="67">
        <f>DI_EEM_Savings_16CTZ!$AP$22</f>
        <v>6.304477392318425E-2</v>
      </c>
      <c r="H9" s="100">
        <f>DI_EEM_Savings_16CTZ!$AT$22</f>
        <v>293.79191631730271</v>
      </c>
      <c r="I9" s="71">
        <f>DI_EEM_Savings_16CTZ!$AP$24</f>
        <v>4.859543298975208E-2</v>
      </c>
      <c r="J9" s="68">
        <f>DI_EEM_Savings_16CTZ!$AT$24</f>
        <v>222.29474461490216</v>
      </c>
      <c r="K9" s="104">
        <f>DI_EEM_Savings_16CTZ!$AP$25</f>
        <v>5.0615455399568965E-2</v>
      </c>
      <c r="L9" s="100">
        <f>DI_EEM_Savings_16CTZ!$AT$25</f>
        <v>228.11867036325717</v>
      </c>
      <c r="M9" s="71">
        <f>DI_EEM_Savings_16CTZ!$AP$26</f>
        <v>3.1506787196139169E-2</v>
      </c>
      <c r="N9" s="68">
        <f>DI_EEM_Savings_16CTZ!$AT$26</f>
        <v>148.60841083638607</v>
      </c>
      <c r="O9" s="104">
        <f>DI_EEM_Savings_16CTZ!$AP$27</f>
        <v>3.1781111227101956E-2</v>
      </c>
      <c r="P9" s="100">
        <f>DI_EEM_Savings_16CTZ!$AT$27</f>
        <v>149.64159537673865</v>
      </c>
      <c r="Q9" s="71">
        <f>DI_EEM_Savings_16CTZ!$AP$29</f>
        <v>8.5250275509746593E-3</v>
      </c>
      <c r="R9" s="68">
        <f>DI_EEM_Savings_16CTZ!$AT$29</f>
        <v>40.362781153822652</v>
      </c>
      <c r="S9" s="67">
        <f>DI_EEM_Savings_16CTZ!$AP$30</f>
        <v>8.8045813422068693E-3</v>
      </c>
      <c r="T9" s="113">
        <f>DI_EEM_Savings_16CTZ!$AT$30</f>
        <v>41.414442115341963</v>
      </c>
      <c r="U9" s="71">
        <f>DI_EEM_Savings_16CTZ!$AP$32</f>
        <v>3.1163283163513605E-2</v>
      </c>
      <c r="V9" s="68">
        <f>DI_EEM_Savings_16CTZ!$AT$32</f>
        <v>64.093463241635646</v>
      </c>
      <c r="W9" s="67">
        <f>DI_EEM_Savings_16CTZ!$AP$33</f>
        <v>3.0235271988977658E-2</v>
      </c>
      <c r="X9" s="100">
        <f>DI_EEM_Savings_16CTZ!$AT$33</f>
        <v>58.77753486301161</v>
      </c>
      <c r="Y9" s="104">
        <f>DI_EEM_Savings_16CTZ!$AP$37</f>
        <v>5.8975589782636041E-2</v>
      </c>
      <c r="Z9" s="68">
        <f>DI_EEM_Savings_16CTZ!$AT$37</f>
        <v>265.21052605855624</v>
      </c>
      <c r="AA9" s="67">
        <f>DI_EEM_Savings_16CTZ!$AP$38</f>
        <v>6.1501229033835321E-2</v>
      </c>
      <c r="AB9" s="68">
        <f>DI_EEM_Savings_16CTZ!$AT$38</f>
        <v>271.54498369916706</v>
      </c>
      <c r="AC9" s="71">
        <f>DI_EEM_Savings_16CTZ!$AP$39</f>
        <v>1.8905184343858621E-2</v>
      </c>
      <c r="AD9" s="68">
        <f>DI_EEM_Savings_16CTZ!$AT$39</f>
        <v>86.699331366347238</v>
      </c>
      <c r="AE9" s="104">
        <f>DI_EEM_Savings_16CTZ!$AP$40</f>
        <v>1.9690354976473222E-2</v>
      </c>
      <c r="AF9" s="100">
        <f>DI_EEM_Savings_16CTZ!$AT$40</f>
        <v>89.010645076934722</v>
      </c>
      <c r="AG9" s="67">
        <f>DI_EEM_Savings_16CTZ!$AP$42</f>
        <v>2.1423376612969933E-2</v>
      </c>
      <c r="AH9" s="68">
        <f>DI_EEM_Savings_16CTZ!$AT$42</f>
        <v>93.975175569653118</v>
      </c>
      <c r="AI9" s="67">
        <f>DI_EEM_Savings_16CTZ!$AP$43</f>
        <v>2.2930547557450606E-2</v>
      </c>
      <c r="AJ9" s="68">
        <f>DI_EEM_Savings_16CTZ!$AT$43</f>
        <v>97.879840661723648</v>
      </c>
      <c r="AK9" s="104">
        <f>DI_EEM_Savings_16CTZ!$AP$45</f>
        <v>-1.9836716836486391E-2</v>
      </c>
      <c r="AL9" s="68">
        <f>DI_EEM_Savings_16CTZ!$AT$45</f>
        <v>-202.59696067746941</v>
      </c>
      <c r="AM9" s="67">
        <f>DI_EEM_Savings_16CTZ!$AP$46</f>
        <v>-2.0764728011022335E-2</v>
      </c>
      <c r="AN9" s="100">
        <f>DI_EEM_Savings_16CTZ!$AT$46</f>
        <v>-213.71188898720692</v>
      </c>
      <c r="AO9" s="164">
        <f>'Cooling Load'!$C$19+DI_EEM_Savings_16CTZ!$AL$21</f>
        <v>8.0655222425508474E-2</v>
      </c>
      <c r="AP9" s="164">
        <f>'Cooling Load'!$G$19+DI_EEM_Savings_16CTZ!$AN$21</f>
        <v>1.8612002605422499E-2</v>
      </c>
      <c r="AQ9" s="159">
        <f>'Cooling Load'!$C$19+DI_EEM_Savings_16CTZ!$AL$22</f>
        <v>8.2563366106868791E-2</v>
      </c>
      <c r="AR9" s="159">
        <f>'Cooling Load'!$G$19+DI_EEM_Savings_16CTZ!$AN$22</f>
        <v>1.9518592183684545E-2</v>
      </c>
      <c r="AS9" s="164">
        <f>'Cooling Load'!$D$19+DI_EEM_Savings_16CTZ!$AL$24</f>
        <v>6.7207435595174572E-2</v>
      </c>
      <c r="AT9" s="164">
        <f>'Cooling Load'!$H$19+DI_EEM_Savings_16CTZ!$AN$24</f>
        <v>1.8612002605422499E-2</v>
      </c>
      <c r="AU9" s="159">
        <f>'Cooling Load'!$D$19+DI_EEM_Savings_16CTZ!$AL$25</f>
        <v>7.0134047583253506E-2</v>
      </c>
      <c r="AV9" s="159">
        <f>'Cooling Load'!$H$19+DI_EEM_Savings_16CTZ!$AN$25</f>
        <v>1.9518592183684545E-2</v>
      </c>
      <c r="AW9" s="164">
        <f>'Cooling Load'!$E$19+DI_EEM_Savings_16CTZ!$AL$26</f>
        <v>5.0118789801561668E-2</v>
      </c>
      <c r="AX9" s="164">
        <f>'Cooling Load'!$G$19+DI_EEM_Savings_16CTZ!$AN$26</f>
        <v>1.8612002605422499E-2</v>
      </c>
      <c r="AY9" s="159">
        <f>'Cooling Load'!$E$19+DI_EEM_Savings_16CTZ!$AL$27</f>
        <v>5.1299703410786504E-2</v>
      </c>
      <c r="AZ9" s="159">
        <f>'Cooling Load'!$G$19+DI_EEM_Savings_16CTZ!$AN$27</f>
        <v>1.9518592183684545E-2</v>
      </c>
      <c r="BA9" s="164">
        <f>'Cooling Load'!$F$19+DI_EEM_Savings_16CTZ!$AL$29</f>
        <v>2.7137030156397159E-2</v>
      </c>
      <c r="BB9" s="164">
        <f>'Cooling Load'!$H$19+DI_EEM_Savings_16CTZ!$AN$29</f>
        <v>1.8612002605422499E-2</v>
      </c>
      <c r="BC9" s="159">
        <f>'Cooling Load'!$F$19+DI_EEM_Savings_16CTZ!$AL$38</f>
        <v>3.6134047583253504E-2</v>
      </c>
      <c r="BD9" s="159">
        <f>'Cooling Load'!$H$19+DI_EEM_Savings_16CTZ!$AN$38</f>
        <v>1.7249485216084857E-2</v>
      </c>
      <c r="BE9" s="164">
        <f>'Cooling Load'!$D$19+DI_EEM_Savings_16CTZ!$AL$37</f>
        <v>6.7207435595174572E-2</v>
      </c>
      <c r="BF9" s="164">
        <f>'Cooling Load'!$I$19+DI_EEM_Savings_16CTZ!$AN$37</f>
        <v>8.231845812538538E-3</v>
      </c>
      <c r="BG9" s="159">
        <f>'Cooling Load'!$D$19+DI_EEM_Savings_16CTZ!$AL$27</f>
        <v>6.2299703410786507E-2</v>
      </c>
      <c r="BH9" s="159">
        <f>'Cooling Load'!$I$19+DI_EEM_Savings_16CTZ!$AN$27</f>
        <v>1.0901925517017878E-2</v>
      </c>
      <c r="BI9" s="164">
        <f>'Cooling Load'!$F$19+DI_EEM_Savings_16CTZ!$AL$39</f>
        <v>2.7137030156397159E-2</v>
      </c>
      <c r="BJ9" s="164">
        <f>'Cooling Load'!$I$19+DI_EEM_Savings_16CTZ!$AN$39</f>
        <v>8.231845812538538E-3</v>
      </c>
      <c r="BK9" s="159">
        <f>'Cooling Load'!$F$19+DI_EEM_Savings_16CTZ!$AL$38</f>
        <v>3.6134047583253504E-2</v>
      </c>
      <c r="BL9" s="159">
        <f>'Cooling Load'!$I$19+DI_EEM_Savings_16CTZ!$AN$38</f>
        <v>8.6328185494181919E-3</v>
      </c>
    </row>
    <row r="10" spans="2:64" ht="15.6" x14ac:dyDescent="0.25">
      <c r="B10" s="70">
        <v>4</v>
      </c>
      <c r="C10" s="66" t="s">
        <v>52</v>
      </c>
      <c r="D10" s="105" t="str">
        <f t="shared" si="0"/>
        <v>/Fixture</v>
      </c>
      <c r="E10" s="71">
        <f>DI_EEM_Savings_16CTZ!$BA$21</f>
        <v>6.1991428873626353E-2</v>
      </c>
      <c r="F10" s="68">
        <f>DI_EEM_Savings_16CTZ!$BE$21</f>
        <v>290.68608963140213</v>
      </c>
      <c r="G10" s="67">
        <f>DI_EEM_Savings_16CTZ!$BA$22</f>
        <v>6.2972719763606813E-2</v>
      </c>
      <c r="H10" s="100">
        <f>DI_EEM_Savings_16CTZ!$BE$22</f>
        <v>293.93025371796045</v>
      </c>
      <c r="I10" s="71">
        <f>DI_EEM_Savings_16CTZ!$BA$24</f>
        <v>4.8490976453504642E-2</v>
      </c>
      <c r="J10" s="68">
        <f>DI_EEM_Savings_16CTZ!$BE$24</f>
        <v>222.53131855272994</v>
      </c>
      <c r="K10" s="104">
        <f>DI_EEM_Savings_16CTZ!$BA$25</f>
        <v>5.0470130232793967E-2</v>
      </c>
      <c r="L10" s="100">
        <f>DI_EEM_Savings_16CTZ!$BE$25</f>
        <v>228.36706357607616</v>
      </c>
      <c r="M10" s="71">
        <f>DI_EEM_Savings_16CTZ!$BA$26</f>
        <v>3.1492601740599396E-2</v>
      </c>
      <c r="N10" s="68">
        <f>DI_EEM_Savings_16CTZ!$BE$26</f>
        <v>148.65087157761852</v>
      </c>
      <c r="O10" s="104">
        <f>DI_EEM_Savings_16CTZ!$BA$27</f>
        <v>3.1761375710626344E-2</v>
      </c>
      <c r="P10" s="100">
        <f>DI_EEM_Savings_16CTZ!$BE$27</f>
        <v>149.68625984535885</v>
      </c>
      <c r="Q10" s="71">
        <f>DI_EEM_Savings_16CTZ!$BA$29</f>
        <v>8.5105716614830157E-3</v>
      </c>
      <c r="R10" s="68">
        <f>DI_EEM_Savings_16CTZ!$BE$29</f>
        <v>40.405989413450378</v>
      </c>
      <c r="S10" s="67">
        <f>DI_EEM_Savings_16CTZ!$BA$30</f>
        <v>8.7844695844679598E-3</v>
      </c>
      <c r="T10" s="113">
        <f>DI_EEM_Savings_16CTZ!$BE$30</f>
        <v>41.459890943686872</v>
      </c>
      <c r="U10" s="71">
        <f>DI_EEM_Savings_16CTZ!$BA$32</f>
        <v>3.1211271162270376E-2</v>
      </c>
      <c r="V10" s="68">
        <f>DI_EEM_Savings_16CTZ!$BE$32</f>
        <v>63.880927570780443</v>
      </c>
      <c r="W10" s="67">
        <f>DI_EEM_Savings_16CTZ!$BA$33</f>
        <v>3.0302035297173201E-2</v>
      </c>
      <c r="X10" s="100">
        <f>DI_EEM_Savings_16CTZ!$BE$33</f>
        <v>58.554950997076688</v>
      </c>
      <c r="Y10" s="104">
        <f>DI_EEM_Savings_16CTZ!$BA$37</f>
        <v>5.884498750480549E-2</v>
      </c>
      <c r="Z10" s="68">
        <f>DI_EEM_Savings_16CTZ!$BE$37</f>
        <v>265.46764769902666</v>
      </c>
      <c r="AA10" s="67">
        <f>DI_EEM_Savings_16CTZ!$BA$38</f>
        <v>6.131952860139938E-2</v>
      </c>
      <c r="AB10" s="68">
        <f>DI_EEM_Savings_16CTZ!$BE$38</f>
        <v>271.81491924212065</v>
      </c>
      <c r="AC10" s="71">
        <f>DI_EEM_Savings_16CTZ!$BA$39</f>
        <v>1.8864582712783858E-2</v>
      </c>
      <c r="AD10" s="68">
        <f>DI_EEM_Savings_16CTZ!$BE$39</f>
        <v>86.79323767346898</v>
      </c>
      <c r="AE10" s="104">
        <f>DI_EEM_Savings_16CTZ!$BA$40</f>
        <v>1.9633867953073373E-2</v>
      </c>
      <c r="AF10" s="100">
        <f>DI_EEM_Savings_16CTZ!$BE$40</f>
        <v>89.109246031105613</v>
      </c>
      <c r="AG10" s="67">
        <f>DI_EEM_Savings_16CTZ!$BA$42</f>
        <v>2.1345439924927198E-2</v>
      </c>
      <c r="AH10" s="68">
        <f>DI_EEM_Savings_16CTZ!$BE$42</f>
        <v>94.133747004344343</v>
      </c>
      <c r="AI10" s="67">
        <f>DI_EEM_Savings_16CTZ!$BA$43</f>
        <v>2.282211813221223E-2</v>
      </c>
      <c r="AJ10" s="68">
        <f>DI_EEM_Savings_16CTZ!$BE$43</f>
        <v>98.046327628767955</v>
      </c>
      <c r="AK10" s="104">
        <f>DI_EEM_Savings_16CTZ!$BA$45</f>
        <v>-1.978872883772962E-2</v>
      </c>
      <c r="AL10" s="68">
        <f>DI_EEM_Savings_16CTZ!$BE$45</f>
        <v>-203.04289239667435</v>
      </c>
      <c r="AM10" s="67">
        <f>DI_EEM_Savings_16CTZ!$BA$46</f>
        <v>-2.0697964702826796E-2</v>
      </c>
      <c r="AN10" s="100">
        <f>DI_EEM_Savings_16CTZ!$BE$46</f>
        <v>-214.1791666183334</v>
      </c>
      <c r="AO10" s="164">
        <f>'Cooling Load'!$C$19+DI_EEM_Savings_16CTZ!$AW$21</f>
        <v>8.0556551203521676E-2</v>
      </c>
      <c r="AP10" s="164">
        <f>'Cooling Load'!$G$19+DI_EEM_Savings_16CTZ!$AY$21</f>
        <v>1.8565122329895326E-2</v>
      </c>
      <c r="AQ10" s="159">
        <f>'Cooling Load'!$C$19+DI_EEM_Savings_16CTZ!$AW$22</f>
        <v>8.2426089759152693E-2</v>
      </c>
      <c r="AR10" s="159">
        <f>'Cooling Load'!$G$19+DI_EEM_Savings_16CTZ!$AY$22</f>
        <v>1.9453369995545873E-2</v>
      </c>
      <c r="AS10" s="164">
        <f>'Cooling Load'!$D$19+DI_EEM_Savings_16CTZ!$AW$24</f>
        <v>6.7056098783399964E-2</v>
      </c>
      <c r="AT10" s="164">
        <f>'Cooling Load'!$H$19+DI_EEM_Savings_16CTZ!$AY$24</f>
        <v>1.8565122329895326E-2</v>
      </c>
      <c r="AU10" s="159">
        <f>'Cooling Load'!$D$19+DI_EEM_Savings_16CTZ!$AW$25</f>
        <v>6.9923500228339847E-2</v>
      </c>
      <c r="AV10" s="159">
        <f>'Cooling Load'!$H$19+DI_EEM_Savings_16CTZ!$AY$25</f>
        <v>1.9453369995545873E-2</v>
      </c>
      <c r="AW10" s="164">
        <f>'Cooling Load'!$E$19+DI_EEM_Savings_16CTZ!$AW$26</f>
        <v>5.0057724070494719E-2</v>
      </c>
      <c r="AX10" s="164">
        <f>'Cooling Load'!$G$19+DI_EEM_Savings_16CTZ!$AY$26</f>
        <v>1.8565122329895326E-2</v>
      </c>
      <c r="AY10" s="159">
        <f>'Cooling Load'!$E$19+DI_EEM_Savings_16CTZ!$AW$27</f>
        <v>5.1214745706172217E-2</v>
      </c>
      <c r="AZ10" s="159">
        <f>'Cooling Load'!$G$19+DI_EEM_Savings_16CTZ!$AY$27</f>
        <v>1.9453369995545873E-2</v>
      </c>
      <c r="BA10" s="164">
        <f>'Cooling Load'!$F$19+DI_EEM_Savings_16CTZ!$AW$29</f>
        <v>2.7075693991378338E-2</v>
      </c>
      <c r="BB10" s="164">
        <f>'Cooling Load'!$H$19+DI_EEM_Savings_16CTZ!$AY$29</f>
        <v>1.8565122329895326E-2</v>
      </c>
      <c r="BC10" s="159">
        <f>'Cooling Load'!$F$19+DI_EEM_Savings_16CTZ!$AW$38</f>
        <v>3.5923500228339837E-2</v>
      </c>
      <c r="BD10" s="159">
        <f>'Cooling Load'!$H$19+DI_EEM_Savings_16CTZ!$AY$38</f>
        <v>1.7220638293607128E-2</v>
      </c>
      <c r="BE10" s="164">
        <f>'Cooling Load'!$D$19+DI_EEM_Savings_16CTZ!$AW$37</f>
        <v>6.7056098783399964E-2</v>
      </c>
      <c r="BF10" s="164">
        <f>'Cooling Load'!$I$19+DI_EEM_Savings_16CTZ!$AY$37</f>
        <v>8.2111112785944809E-3</v>
      </c>
      <c r="BG10" s="159">
        <f>'Cooling Load'!$D$19+DI_EEM_Savings_16CTZ!$AW$27</f>
        <v>6.221474570617222E-2</v>
      </c>
      <c r="BH10" s="159">
        <f>'Cooling Load'!$I$19+DI_EEM_Savings_16CTZ!$AY$27</f>
        <v>1.0836703328879208E-2</v>
      </c>
      <c r="BI10" s="164">
        <f>'Cooling Load'!$F$19+DI_EEM_Savings_16CTZ!$AW$39</f>
        <v>2.7075693991378338E-2</v>
      </c>
      <c r="BJ10" s="164">
        <f>'Cooling Load'!$I$19+DI_EEM_Savings_16CTZ!$AY$39</f>
        <v>8.2111112785944809E-3</v>
      </c>
      <c r="BK10" s="159">
        <f>'Cooling Load'!$F$19+DI_EEM_Savings_16CTZ!$AW$38</f>
        <v>3.5923500228339837E-2</v>
      </c>
      <c r="BL10" s="159">
        <f>'Cooling Load'!$I$19+DI_EEM_Savings_16CTZ!$AY$38</f>
        <v>8.6039716269404615E-3</v>
      </c>
    </row>
    <row r="11" spans="2:64" ht="15.6" x14ac:dyDescent="0.25">
      <c r="B11" s="70">
        <v>5</v>
      </c>
      <c r="C11" s="66" t="s">
        <v>53</v>
      </c>
      <c r="D11" s="105" t="str">
        <f t="shared" si="0"/>
        <v>/Fixture</v>
      </c>
      <c r="E11" s="71">
        <f>DI_EEM_Savings_16CTZ!$BL$21</f>
        <v>6.1748190488947932E-2</v>
      </c>
      <c r="F11" s="68">
        <f>DI_EEM_Savings_16CTZ!$BP$21</f>
        <v>290.15053252435916</v>
      </c>
      <c r="G11" s="67">
        <f>DI_EEM_Savings_16CTZ!$BL$22</f>
        <v>6.2628373325904652E-2</v>
      </c>
      <c r="H11" s="100">
        <f>DI_EEM_Savings_16CTZ!$BP$22</f>
        <v>293.14296409479641</v>
      </c>
      <c r="I11" s="71">
        <f>DI_EEM_Savings_16CTZ!$BL$24</f>
        <v>4.8000391884525193E-2</v>
      </c>
      <c r="J11" s="68">
        <f>DI_EEM_Savings_16CTZ!$BP$24</f>
        <v>221.3545591520126</v>
      </c>
      <c r="K11" s="104">
        <f>DI_EEM_Savings_16CTZ!$BL$25</f>
        <v>4.9775622049214874E-2</v>
      </c>
      <c r="L11" s="100">
        <f>DI_EEM_Savings_16CTZ!$BP$25</f>
        <v>226.69307395622502</v>
      </c>
      <c r="M11" s="71">
        <f>DI_EEM_Savings_16CTZ!$BL$26</f>
        <v>3.1425979144812065E-2</v>
      </c>
      <c r="N11" s="68">
        <f>DI_EEM_Savings_16CTZ!$BP$26</f>
        <v>148.72119658109904</v>
      </c>
      <c r="O11" s="104">
        <f>DI_EEM_Savings_16CTZ!$BL$27</f>
        <v>3.1667059784461278E-2</v>
      </c>
      <c r="P11" s="100">
        <f>DI_EEM_Savings_16CTZ!$BP$27</f>
        <v>149.72644666881592</v>
      </c>
      <c r="Q11" s="71">
        <f>DI_EEM_Savings_16CTZ!$BL$29</f>
        <v>8.4426789611289355E-3</v>
      </c>
      <c r="R11" s="68">
        <f>DI_EEM_Savings_16CTZ!$BP$29</f>
        <v>40.470870951036872</v>
      </c>
      <c r="S11" s="67">
        <f>DI_EEM_Savings_16CTZ!$BL$30</f>
        <v>8.6883556033468638E-3</v>
      </c>
      <c r="T11" s="113">
        <f>DI_EEM_Savings_16CTZ!$BP$30</f>
        <v>41.492700980388328</v>
      </c>
      <c r="U11" s="71">
        <f>DI_EEM_Savings_16CTZ!$BL$32</f>
        <v>3.143664884117895E-2</v>
      </c>
      <c r="V11" s="68">
        <f>DI_EEM_Savings_16CTZ!$BP$32</f>
        <v>66.886470951211095</v>
      </c>
      <c r="W11" s="67">
        <f>DI_EEM_Savings_16CTZ!$BL$33</f>
        <v>3.0621096784825941E-2</v>
      </c>
      <c r="X11" s="100">
        <f>DI_EEM_Savings_16CTZ!$BP$33</f>
        <v>62.416244225508621</v>
      </c>
      <c r="Y11" s="104">
        <f>DI_EEM_Savings_16CTZ!$BL$37</f>
        <v>5.8231608347512134E-2</v>
      </c>
      <c r="Z11" s="68">
        <f>DI_EEM_Savings_16CTZ!$BP$37</f>
        <v>264.07953041280416</v>
      </c>
      <c r="AA11" s="67">
        <f>DI_EEM_Savings_16CTZ!$BL$38</f>
        <v>6.0451183220574876E-2</v>
      </c>
      <c r="AB11" s="68">
        <f>DI_EEM_Savings_16CTZ!$BP$38</f>
        <v>269.86346936786993</v>
      </c>
      <c r="AC11" s="71">
        <f>DI_EEM_Savings_16CTZ!$BL$39</f>
        <v>1.8673895424115874E-2</v>
      </c>
      <c r="AD11" s="68">
        <f>DI_EEM_Savings_16CTZ!$BP$39</f>
        <v>86.336628691947283</v>
      </c>
      <c r="AE11" s="104">
        <f>DI_EEM_Savings_16CTZ!$BL$40</f>
        <v>1.9363916774706866E-2</v>
      </c>
      <c r="AF11" s="100">
        <f>DI_EEM_Savings_16CTZ!$BP$40</f>
        <v>88.457468919554231</v>
      </c>
      <c r="AG11" s="67">
        <f>DI_EEM_Savings_16CTZ!$BL$42</f>
        <v>2.097940695193487E-2</v>
      </c>
      <c r="AH11" s="68">
        <f>DI_EEM_Savings_16CTZ!$BP$42</f>
        <v>93.322006550737981</v>
      </c>
      <c r="AI11" s="67">
        <f>DI_EEM_Savings_16CTZ!$BL$43</f>
        <v>2.2303934497264661E-2</v>
      </c>
      <c r="AJ11" s="68">
        <f>DI_EEM_Savings_16CTZ!$BP$43</f>
        <v>96.896478068863189</v>
      </c>
      <c r="AK11" s="104">
        <f>DI_EEM_Savings_16CTZ!$BL$45</f>
        <v>-1.956335115882105E-2</v>
      </c>
      <c r="AL11" s="68">
        <f>DI_EEM_Savings_16CTZ!$BP$45</f>
        <v>-197.6365893730628</v>
      </c>
      <c r="AM11" s="67">
        <f>DI_EEM_Savings_16CTZ!$BL$46</f>
        <v>-2.0378903215174052E-2</v>
      </c>
      <c r="AN11" s="100">
        <f>DI_EEM_Savings_16CTZ!$BP$46</f>
        <v>-207.16627400785268</v>
      </c>
      <c r="AO11" s="164">
        <f>'Cooling Load'!$C$19+DI_EEM_Savings_16CTZ!$BH$21</f>
        <v>8.009313760923592E-2</v>
      </c>
      <c r="AP11" s="164">
        <f>'Cooling Load'!$G$19+DI_EEM_Savings_16CTZ!$BJ$21</f>
        <v>1.8344947120287995E-2</v>
      </c>
      <c r="AQ11" s="159">
        <f>'Cooling Load'!$C$19+DI_EEM_Savings_16CTZ!$BH$22</f>
        <v>8.1770046838188462E-2</v>
      </c>
      <c r="AR11" s="159">
        <f>'Cooling Load'!$G$19+DI_EEM_Savings_16CTZ!$BJ$22</f>
        <v>1.9141673512283797E-2</v>
      </c>
      <c r="AS11" s="164">
        <f>'Cooling Load'!$D$19+DI_EEM_Savings_16CTZ!$BH$24</f>
        <v>6.6345339004813181E-2</v>
      </c>
      <c r="AT11" s="164">
        <f>'Cooling Load'!$H$19+DI_EEM_Savings_16CTZ!$BJ$24</f>
        <v>1.8344947120287992E-2</v>
      </c>
      <c r="AU11" s="159">
        <f>'Cooling Load'!$D$19+DI_EEM_Savings_16CTZ!$BH$25</f>
        <v>6.891729556149867E-2</v>
      </c>
      <c r="AV11" s="159">
        <f>'Cooling Load'!$H$19+DI_EEM_Savings_16CTZ!$BJ$25</f>
        <v>1.9141673512283797E-2</v>
      </c>
      <c r="AW11" s="164">
        <f>'Cooling Load'!$E$19+DI_EEM_Savings_16CTZ!$BH$26</f>
        <v>4.9770926265100053E-2</v>
      </c>
      <c r="AX11" s="164">
        <f>'Cooling Load'!$G$19+DI_EEM_Savings_16CTZ!$BJ$26</f>
        <v>1.8344947120287992E-2</v>
      </c>
      <c r="AY11" s="159">
        <f>'Cooling Load'!$E$19+DI_EEM_Savings_16CTZ!$BH$27</f>
        <v>5.0808733296745075E-2</v>
      </c>
      <c r="AZ11" s="159">
        <f>'Cooling Load'!$G$19+DI_EEM_Savings_16CTZ!$BJ$27</f>
        <v>1.9141673512283797E-2</v>
      </c>
      <c r="BA11" s="164">
        <f>'Cooling Load'!$F$19+DI_EEM_Savings_16CTZ!$BH$29</f>
        <v>2.6787626081416927E-2</v>
      </c>
      <c r="BB11" s="164">
        <f>'Cooling Load'!$H$19+DI_EEM_Savings_16CTZ!$BJ$29</f>
        <v>1.8344947120287992E-2</v>
      </c>
      <c r="BC11" s="159">
        <f>'Cooling Load'!$F$19+DI_EEM_Savings_16CTZ!$BH$38</f>
        <v>3.4917295561498668E-2</v>
      </c>
      <c r="BD11" s="159">
        <f>'Cooling Load'!$H$19+DI_EEM_Savings_16CTZ!$BJ$38</f>
        <v>1.7082779007590459E-2</v>
      </c>
      <c r="BE11" s="164">
        <f>'Cooling Load'!$D$19+DI_EEM_Savings_16CTZ!$BH$37</f>
        <v>6.6345339004813181E-2</v>
      </c>
      <c r="BF11" s="164">
        <f>'Cooling Load'!$I$19+DI_EEM_Savings_16CTZ!$BJ$37</f>
        <v>8.1137306573010534E-3</v>
      </c>
      <c r="BG11" s="159">
        <f>'Cooling Load'!$D$19+DI_EEM_Savings_16CTZ!$BH$27</f>
        <v>6.1808733296745078E-2</v>
      </c>
      <c r="BH11" s="159">
        <f>'Cooling Load'!$I$19+DI_EEM_Savings_16CTZ!$BJ$27</f>
        <v>1.052500684561713E-2</v>
      </c>
      <c r="BI11" s="164">
        <f>'Cooling Load'!$F$19+DI_EEM_Savings_16CTZ!$BH$39</f>
        <v>2.6787626081416927E-2</v>
      </c>
      <c r="BJ11" s="164">
        <f>'Cooling Load'!$I$19+DI_EEM_Savings_16CTZ!$BJ$39</f>
        <v>8.1137306573010534E-3</v>
      </c>
      <c r="BK11" s="159">
        <f>'Cooling Load'!$F$19+DI_EEM_Savings_16CTZ!$BH$38</f>
        <v>3.4917295561498668E-2</v>
      </c>
      <c r="BL11" s="159">
        <f>'Cooling Load'!$I$19+DI_EEM_Savings_16CTZ!$BJ$38</f>
        <v>8.466112340923794E-3</v>
      </c>
    </row>
    <row r="12" spans="2:64" s="240" customFormat="1" x14ac:dyDescent="0.25">
      <c r="B12" s="231">
        <v>6</v>
      </c>
      <c r="C12" s="232" t="s">
        <v>221</v>
      </c>
      <c r="D12" s="233" t="str">
        <f t="shared" si="0"/>
        <v>/Fixture</v>
      </c>
      <c r="E12" s="234">
        <f>DI_EEM_Savings_16CTZ!$BW$21</f>
        <v>6.1891084380856179E-2</v>
      </c>
      <c r="F12" s="235">
        <f>DI_EEM_Savings_16CTZ!$CA$21</f>
        <v>290.24737965828228</v>
      </c>
      <c r="G12" s="236">
        <f>DI_EEM_Savings_16CTZ!$BW$22</f>
        <v>6.2831875823503663E-2</v>
      </c>
      <c r="H12" s="237">
        <f>DI_EEM_Savings_16CTZ!$CA$22</f>
        <v>293.34732758623841</v>
      </c>
      <c r="I12" s="234">
        <f>DI_EEM_Savings_16CTZ!$BW$24</f>
        <v>4.8288592854385609E-2</v>
      </c>
      <c r="J12" s="235">
        <f>DI_EEM_Savings_16CTZ!$CA$24</f>
        <v>221.79385253806893</v>
      </c>
      <c r="K12" s="238">
        <f>DI_EEM_Savings_16CTZ!$BW$25</f>
        <v>5.0186063786043705E-2</v>
      </c>
      <c r="L12" s="237">
        <f>DI_EEM_Savings_16CTZ!$CA$25</f>
        <v>227.38124678621671</v>
      </c>
      <c r="M12" s="234">
        <f>DI_EEM_Savings_16CTZ!$BW$26</f>
        <v>3.1465117548126441E-2</v>
      </c>
      <c r="N12" s="235">
        <f>DI_EEM_Savings_16CTZ!$CA$26</f>
        <v>148.45239621473672</v>
      </c>
      <c r="O12" s="238">
        <f>DI_EEM_Savings_16CTZ!$BW$27</f>
        <v>3.1722798785759024E-2</v>
      </c>
      <c r="P12" s="237">
        <f>DI_EEM_Savings_16CTZ!$CA$27</f>
        <v>149.42923936410511</v>
      </c>
      <c r="Q12" s="234">
        <f>DI_EEM_Savings_16CTZ!$BW$29</f>
        <v>8.4825635056615788E-3</v>
      </c>
      <c r="R12" s="235">
        <f>DI_EEM_Savings_16CTZ!$CA$29</f>
        <v>40.205588962971056</v>
      </c>
      <c r="S12" s="236">
        <f>DI_EEM_Savings_16CTZ!$BW$30</f>
        <v>8.7451572225035728E-3</v>
      </c>
      <c r="T12" s="239">
        <f>DI_EEM_Savings_16CTZ!$CA$30</f>
        <v>41.200246254170935</v>
      </c>
      <c r="U12" s="234">
        <f>DI_EEM_Savings_16CTZ!$BW$32</f>
        <v>3.1393419993457877E-2</v>
      </c>
      <c r="V12" s="235">
        <f>DI_EEM_Savings_16CTZ!$CA$32</f>
        <v>64.785358372457821</v>
      </c>
      <c r="W12" s="236">
        <f>DI_EEM_Savings_16CTZ!$BW$33</f>
        <v>3.0559173129953352E-2</v>
      </c>
      <c r="X12" s="237">
        <f>DI_EEM_Savings_16CTZ!$CA$33</f>
        <v>59.827385365855491</v>
      </c>
      <c r="Y12" s="238">
        <f>DI_EEM_Savings_16CTZ!$BW$37</f>
        <v>5.8591946766618663E-2</v>
      </c>
      <c r="Z12" s="235">
        <f>DI_EEM_Savings_16CTZ!$CA$37</f>
        <v>264.69176109899564</v>
      </c>
      <c r="AA12" s="236">
        <f>DI_EEM_Savings_16CTZ!$BW$38</f>
        <v>6.0964359587246608E-2</v>
      </c>
      <c r="AB12" s="235">
        <f>DI_EEM_Savings_16CTZ!$CA$38</f>
        <v>270.77452770943682</v>
      </c>
      <c r="AC12" s="234">
        <f>DI_EEM_Savings_16CTZ!$BW$39</f>
        <v>1.8785917417894624E-2</v>
      </c>
      <c r="AD12" s="235">
        <f>DI_EEM_Savings_16CTZ!$CA$39</f>
        <v>86.498040802401192</v>
      </c>
      <c r="AE12" s="238">
        <f>DI_EEM_Savings_16CTZ!$BW$40</f>
        <v>1.952345302370647E-2</v>
      </c>
      <c r="AF12" s="237">
        <f>DI_EEM_Savings_16CTZ!$CA$40</f>
        <v>88.714947217388712</v>
      </c>
      <c r="AG12" s="236">
        <f>DI_EEM_Savings_16CTZ!$BW$42</f>
        <v>2.1049614364341464E-2</v>
      </c>
      <c r="AH12" s="235">
        <f>DI_EEM_Savings_16CTZ!$CA$42</f>
        <v>93.140753409677046</v>
      </c>
      <c r="AI12" s="236">
        <f>DI_EEM_Savings_16CTZ!$BW$43</f>
        <v>2.2404503904143502E-2</v>
      </c>
      <c r="AJ12" s="235">
        <f>DI_EEM_Savings_16CTZ!$CA$43</f>
        <v>96.713910648077174</v>
      </c>
      <c r="AK12" s="238">
        <f>DI_EEM_Savings_16CTZ!$BW$45</f>
        <v>-1.9606580006542116E-2</v>
      </c>
      <c r="AL12" s="235">
        <f>DI_EEM_Savings_16CTZ!$CA$45</f>
        <v>-200.94513667739093</v>
      </c>
      <c r="AM12" s="236">
        <f>DI_EEM_Savings_16CTZ!$BW$46</f>
        <v>-2.0440826870046641E-2</v>
      </c>
      <c r="AN12" s="237">
        <f>DI_EEM_Savings_16CTZ!$CA$46</f>
        <v>-211.26849357824301</v>
      </c>
      <c r="AO12" s="230">
        <f>'Cooling Load'!$C$19+DI_EEM_Savings_16CTZ!$BS$21</f>
        <v>8.0365376598728583E-2</v>
      </c>
      <c r="AP12" s="230">
        <f>'Cooling Load'!$G$19+DI_EEM_Savings_16CTZ!$BU$21</f>
        <v>1.8474292217872407E-2</v>
      </c>
      <c r="AQ12" s="230">
        <f>'Cooling Load'!$C$19+DI_EEM_Savings_16CTZ!$BS$22</f>
        <v>8.2157756302643103E-2</v>
      </c>
      <c r="AR12" s="230">
        <f>'Cooling Load'!$G$19+DI_EEM_Savings_16CTZ!$BU$22</f>
        <v>1.932588047913944E-2</v>
      </c>
      <c r="AS12" s="230">
        <f>'Cooling Load'!$D$19+DI_EEM_Savings_16CTZ!$BS$24</f>
        <v>6.6762885072258027E-2</v>
      </c>
      <c r="AT12" s="230">
        <f>'Cooling Load'!$H$19+DI_EEM_Savings_16CTZ!$BU$24</f>
        <v>1.8474292217872407E-2</v>
      </c>
      <c r="AU12" s="230">
        <f>'Cooling Load'!$D$19+DI_EEM_Savings_16CTZ!$BS$25</f>
        <v>6.9511944265183145E-2</v>
      </c>
      <c r="AV12" s="230">
        <f>'Cooling Load'!$H$19+DI_EEM_Savings_16CTZ!$BU$25</f>
        <v>1.9325880479139437E-2</v>
      </c>
      <c r="AW12" s="230">
        <f>'Cooling Load'!$E$19+DI_EEM_Savings_16CTZ!$BS$26</f>
        <v>4.9939409765998852E-2</v>
      </c>
      <c r="AX12" s="230">
        <f>'Cooling Load'!$G$19+DI_EEM_Savings_16CTZ!$BU$26</f>
        <v>1.8474292217872407E-2</v>
      </c>
      <c r="AY12" s="230">
        <f>'Cooling Load'!$E$19+DI_EEM_Savings_16CTZ!$BS$27</f>
        <v>5.1048679264898457E-2</v>
      </c>
      <c r="AZ12" s="230">
        <f>'Cooling Load'!$G$19+DI_EEM_Savings_16CTZ!$BU$27</f>
        <v>1.9325880479139437E-2</v>
      </c>
      <c r="BA12" s="230">
        <f>'Cooling Load'!$F$19+DI_EEM_Savings_16CTZ!$BS$29</f>
        <v>2.6956855723533985E-2</v>
      </c>
      <c r="BB12" s="230">
        <f>'Cooling Load'!$H$19+DI_EEM_Savings_16CTZ!$BU$29</f>
        <v>1.8474292217872407E-2</v>
      </c>
      <c r="BC12" s="230">
        <f>'Cooling Load'!$F$19+DI_EEM_Savings_16CTZ!$BS$38</f>
        <v>3.5511944265183143E-2</v>
      </c>
      <c r="BD12" s="230">
        <f>'Cooling Load'!$H$19+DI_EEM_Savings_16CTZ!$BU$38</f>
        <v>1.7164251344603202E-2</v>
      </c>
      <c r="BE12" s="230">
        <f>'Cooling Load'!$D$19+DI_EEM_Savings_16CTZ!$BS$37</f>
        <v>6.6762885072258027E-2</v>
      </c>
      <c r="BF12" s="230">
        <f>'Cooling Load'!$I$19+DI_EEM_Savings_16CTZ!$BU$37</f>
        <v>8.1709383056393602E-3</v>
      </c>
      <c r="BG12" s="230">
        <f>'Cooling Load'!$D$19+DI_EEM_Savings_16CTZ!$BS$27</f>
        <v>6.204867926489846E-2</v>
      </c>
      <c r="BH12" s="230">
        <f>'Cooling Load'!$I$19+DI_EEM_Savings_16CTZ!$BU$27</f>
        <v>1.0709213812472772E-2</v>
      </c>
      <c r="BI12" s="230">
        <f>'Cooling Load'!$F$19+DI_EEM_Savings_16CTZ!$BS$39</f>
        <v>2.6956855723533985E-2</v>
      </c>
      <c r="BJ12" s="230">
        <f>'Cooling Load'!$I$19+DI_EEM_Savings_16CTZ!$BU$39</f>
        <v>8.1709383056393602E-3</v>
      </c>
      <c r="BK12" s="230">
        <f>'Cooling Load'!$F$19+DI_EEM_Savings_16CTZ!$BS$38</f>
        <v>3.5511944265183143E-2</v>
      </c>
      <c r="BL12" s="230">
        <f>'Cooling Load'!$I$19+DI_EEM_Savings_16CTZ!$BU$38</f>
        <v>8.5475846779365372E-3</v>
      </c>
    </row>
    <row r="13" spans="2:64" ht="15.6" x14ac:dyDescent="0.25">
      <c r="B13" s="70">
        <v>7</v>
      </c>
      <c r="C13" s="66" t="s">
        <v>54</v>
      </c>
      <c r="D13" s="105" t="str">
        <f t="shared" si="0"/>
        <v>/Fixture</v>
      </c>
      <c r="E13" s="71">
        <f>DI_EEM_Savings_16CTZ!$CH$21</f>
        <v>6.1748190488947932E-2</v>
      </c>
      <c r="F13" s="68">
        <f>DI_EEM_Savings_16CTZ!$CL$21</f>
        <v>290.20900940810509</v>
      </c>
      <c r="G13" s="67">
        <f>DI_EEM_Savings_16CTZ!$CH$22</f>
        <v>6.2628373325904652E-2</v>
      </c>
      <c r="H13" s="100">
        <f>DI_EEM_Savings_16CTZ!$CL$22</f>
        <v>293.21360980171892</v>
      </c>
      <c r="I13" s="71">
        <f>DI_EEM_Savings_16CTZ!$CH$24</f>
        <v>4.8000391884525193E-2</v>
      </c>
      <c r="J13" s="68">
        <f>DI_EEM_Savings_16CTZ!$CL$24</f>
        <v>221.60766384878218</v>
      </c>
      <c r="K13" s="104">
        <f>DI_EEM_Savings_16CTZ!$CH$25</f>
        <v>4.9775622049214874E-2</v>
      </c>
      <c r="L13" s="100">
        <f>DI_EEM_Savings_16CTZ!$CL$25</f>
        <v>226.99884880404997</v>
      </c>
      <c r="M13" s="71">
        <f>DI_EEM_Savings_16CTZ!$CH$26</f>
        <v>3.1425979144812065E-2</v>
      </c>
      <c r="N13" s="68">
        <f>DI_EEM_Savings_16CTZ!$CL$26</f>
        <v>148.57262294884117</v>
      </c>
      <c r="O13" s="104">
        <f>DI_EEM_Savings_16CTZ!$CH$27</f>
        <v>3.1667059784461278E-2</v>
      </c>
      <c r="P13" s="100">
        <f>DI_EEM_Savings_16CTZ!$CL$27</f>
        <v>149.54695541332254</v>
      </c>
      <c r="Q13" s="71">
        <f>DI_EEM_Savings_16CTZ!$CH$29</f>
        <v>8.4426789611289355E-3</v>
      </c>
      <c r="R13" s="68">
        <f>DI_EEM_Savings_16CTZ!$CL$29</f>
        <v>40.324285878206972</v>
      </c>
      <c r="S13" s="67">
        <f>DI_EEM_Savings_16CTZ!$CH$30</f>
        <v>8.6883556033468638E-3</v>
      </c>
      <c r="T13" s="113">
        <f>DI_EEM_Savings_16CTZ!$CL$30</f>
        <v>41.315612096183315</v>
      </c>
      <c r="U13" s="71">
        <f>DI_EEM_Savings_16CTZ!$CH$32</f>
        <v>3.143664884117895E-2</v>
      </c>
      <c r="V13" s="68">
        <f>DI_EEM_Savings_16CTZ!$CL$32</f>
        <v>65.31648957435047</v>
      </c>
      <c r="W13" s="67">
        <f>DI_EEM_Savings_16CTZ!$CH$33</f>
        <v>3.0621096784825941E-2</v>
      </c>
      <c r="X13" s="100">
        <f>DI_EEM_Savings_16CTZ!$CL$33</f>
        <v>60.519555532154939</v>
      </c>
      <c r="Y13" s="104">
        <f>DI_EEM_Savings_16CTZ!$CH$37</f>
        <v>5.8231608347512134E-2</v>
      </c>
      <c r="Z13" s="68">
        <f>DI_EEM_Savings_16CTZ!$CL$37</f>
        <v>264.42983299927295</v>
      </c>
      <c r="AA13" s="67">
        <f>DI_EEM_Savings_16CTZ!$CH$38</f>
        <v>6.0451183220574876E-2</v>
      </c>
      <c r="AB13" s="68">
        <f>DI_EEM_Savings_16CTZ!$CL$38</f>
        <v>270.28666862666398</v>
      </c>
      <c r="AC13" s="71">
        <f>DI_EEM_Savings_16CTZ!$CH$39</f>
        <v>1.8673895424115874E-2</v>
      </c>
      <c r="AD13" s="68">
        <f>DI_EEM_Savings_16CTZ!$CL$39</f>
        <v>86.429863287232934</v>
      </c>
      <c r="AE13" s="104">
        <f>DI_EEM_Savings_16CTZ!$CH$40</f>
        <v>1.9363916774706866E-2</v>
      </c>
      <c r="AF13" s="100">
        <f>DI_EEM_Savings_16CTZ!$CL$40</f>
        <v>88.57010528920425</v>
      </c>
      <c r="AG13" s="67">
        <f>DI_EEM_Savings_16CTZ!$CH$42</f>
        <v>2.097940695193487E-2</v>
      </c>
      <c r="AH13" s="68">
        <f>DI_EEM_Savings_16CTZ!$CL$42</f>
        <v>93.507492835585083</v>
      </c>
      <c r="AI13" s="67">
        <f>DI_EEM_Savings_16CTZ!$CH$43</f>
        <v>2.2303934497264661E-2</v>
      </c>
      <c r="AJ13" s="68">
        <f>DI_EEM_Savings_16CTZ!$CL$43</f>
        <v>97.120563363393998</v>
      </c>
      <c r="AK13" s="104">
        <f>DI_EEM_Savings_16CTZ!$CH$45</f>
        <v>-1.956335115882105E-2</v>
      </c>
      <c r="AL13" s="68">
        <f>DI_EEM_Savings_16CTZ!$CL$45</f>
        <v>-200.31061647991569</v>
      </c>
      <c r="AM13" s="67">
        <f>DI_EEM_Savings_16CTZ!$CH$46</f>
        <v>-2.0378903215174052E-2</v>
      </c>
      <c r="AN13" s="100">
        <f>DI_EEM_Savings_16CTZ!$CL$46</f>
        <v>-210.39675626327335</v>
      </c>
      <c r="AO13" s="164">
        <f>'Cooling Load'!$C$19+DI_EEM_Savings_16CTZ!$CD$21</f>
        <v>8.009313760923592E-2</v>
      </c>
      <c r="AP13" s="164">
        <f>'Cooling Load'!$G$19+DI_EEM_Savings_16CTZ!$CF$21</f>
        <v>1.8344947120287995E-2</v>
      </c>
      <c r="AQ13" s="159">
        <f>'Cooling Load'!$C$19+DI_EEM_Savings_16CTZ!$CD$22</f>
        <v>8.1770046838188462E-2</v>
      </c>
      <c r="AR13" s="159">
        <f>'Cooling Load'!$G$19+DI_EEM_Savings_16CTZ!$CF$22</f>
        <v>1.9141673512283797E-2</v>
      </c>
      <c r="AS13" s="164">
        <f>'Cooling Load'!$D$19+DI_EEM_Savings_16CTZ!$CD$24</f>
        <v>6.6345339004813181E-2</v>
      </c>
      <c r="AT13" s="164">
        <f>'Cooling Load'!$H$19+DI_EEM_Savings_16CTZ!$CF$24</f>
        <v>1.8344947120287992E-2</v>
      </c>
      <c r="AU13" s="159">
        <f>'Cooling Load'!$D$19+DI_EEM_Savings_16CTZ!$CD$25</f>
        <v>6.891729556149867E-2</v>
      </c>
      <c r="AV13" s="159">
        <f>'Cooling Load'!$H$19+DI_EEM_Savings_16CTZ!$CF$25</f>
        <v>1.9141673512283797E-2</v>
      </c>
      <c r="AW13" s="164">
        <f>'Cooling Load'!$E$19+DI_EEM_Savings_16CTZ!$CD$26</f>
        <v>4.9770926265100053E-2</v>
      </c>
      <c r="AX13" s="164">
        <f>'Cooling Load'!$G$19+DI_EEM_Savings_16CTZ!$CF$26</f>
        <v>1.8344947120287992E-2</v>
      </c>
      <c r="AY13" s="159">
        <f>'Cooling Load'!$E$19+DI_EEM_Savings_16CTZ!$CD$27</f>
        <v>5.0808733296745075E-2</v>
      </c>
      <c r="AZ13" s="159">
        <f>'Cooling Load'!$G$19+DI_EEM_Savings_16CTZ!$CF$27</f>
        <v>1.9141673512283797E-2</v>
      </c>
      <c r="BA13" s="164">
        <f>'Cooling Load'!$F$19+DI_EEM_Savings_16CTZ!$CD$29</f>
        <v>2.6787626081416927E-2</v>
      </c>
      <c r="BB13" s="164">
        <f>'Cooling Load'!$H$19+DI_EEM_Savings_16CTZ!$CF$29</f>
        <v>1.8344947120287992E-2</v>
      </c>
      <c r="BC13" s="159">
        <f>'Cooling Load'!$F$19+DI_EEM_Savings_16CTZ!$CD$38</f>
        <v>3.4917295561498668E-2</v>
      </c>
      <c r="BD13" s="159">
        <f>'Cooling Load'!$H$19+DI_EEM_Savings_16CTZ!$CF$38</f>
        <v>1.7082779007590459E-2</v>
      </c>
      <c r="BE13" s="164">
        <f>'Cooling Load'!$D$19+DI_EEM_Savings_16CTZ!$CD$37</f>
        <v>6.6345339004813181E-2</v>
      </c>
      <c r="BF13" s="164">
        <f>'Cooling Load'!$I$19+DI_EEM_Savings_16CTZ!$CF$37</f>
        <v>8.1137306573010534E-3</v>
      </c>
      <c r="BG13" s="159">
        <f>'Cooling Load'!$D$19+DI_EEM_Savings_16CTZ!$CD$27</f>
        <v>6.1808733296745078E-2</v>
      </c>
      <c r="BH13" s="159">
        <f>'Cooling Load'!$I$19+DI_EEM_Savings_16CTZ!$CF$27</f>
        <v>1.052500684561713E-2</v>
      </c>
      <c r="BI13" s="164">
        <f>'Cooling Load'!$F$19+DI_EEM_Savings_16CTZ!$CD$39</f>
        <v>2.6787626081416927E-2</v>
      </c>
      <c r="BJ13" s="164">
        <f>'Cooling Load'!$I$19+DI_EEM_Savings_16CTZ!$CF$39</f>
        <v>8.1137306573010534E-3</v>
      </c>
      <c r="BK13" s="159">
        <f>'Cooling Load'!$F$19+DI_EEM_Savings_16CTZ!$CD$38</f>
        <v>3.4917295561498668E-2</v>
      </c>
      <c r="BL13" s="159">
        <f>'Cooling Load'!$I$19+DI_EEM_Savings_16CTZ!$CF$38</f>
        <v>8.466112340923794E-3</v>
      </c>
    </row>
    <row r="14" spans="2:64" s="240" customFormat="1" x14ac:dyDescent="0.25">
      <c r="B14" s="231">
        <v>8</v>
      </c>
      <c r="C14" s="232" t="s">
        <v>222</v>
      </c>
      <c r="D14" s="233" t="str">
        <f t="shared" si="0"/>
        <v>/Fixture</v>
      </c>
      <c r="E14" s="234">
        <f>DI_EEM_Savings_16CTZ!$CS$21</f>
        <v>6.2043219820085968E-2</v>
      </c>
      <c r="F14" s="235">
        <f>DI_EEM_Savings_16CTZ!$CW$21</f>
        <v>291.7754367539107</v>
      </c>
      <c r="G14" s="236">
        <f>DI_EEM_Savings_16CTZ!$CS$22</f>
        <v>6.304477392318425E-2</v>
      </c>
      <c r="H14" s="237">
        <f>DI_EEM_Savings_16CTZ!$CW$22</f>
        <v>295.28038922056822</v>
      </c>
      <c r="I14" s="234">
        <f>DI_EEM_Savings_16CTZ!$CS$24</f>
        <v>4.859543298975208E-2</v>
      </c>
      <c r="J14" s="235">
        <f>DI_EEM_Savings_16CTZ!$CW$24</f>
        <v>224.33920749827416</v>
      </c>
      <c r="K14" s="238">
        <f>DI_EEM_Savings_16CTZ!$CS$25</f>
        <v>5.0615455399568965E-2</v>
      </c>
      <c r="L14" s="237">
        <f>DI_EEM_Savings_16CTZ!$CW$25</f>
        <v>230.61085418025382</v>
      </c>
      <c r="M14" s="234">
        <f>DI_EEM_Savings_16CTZ!$CS$26</f>
        <v>3.1506787196139169E-2</v>
      </c>
      <c r="N14" s="235">
        <f>DI_EEM_Savings_16CTZ!$CW$26</f>
        <v>149.17003214145046</v>
      </c>
      <c r="O14" s="238">
        <f>DI_EEM_Savings_16CTZ!$CS$27</f>
        <v>3.1781111227101956E-2</v>
      </c>
      <c r="P14" s="237">
        <f>DI_EEM_Savings_16CTZ!$CW$27</f>
        <v>150.32620723208012</v>
      </c>
      <c r="Q14" s="234">
        <f>DI_EEM_Savings_16CTZ!$CS$29</f>
        <v>8.5250275509746593E-3</v>
      </c>
      <c r="R14" s="235">
        <f>DI_EEM_Savings_16CTZ!$CW$29</f>
        <v>40.929669534864466</v>
      </c>
      <c r="S14" s="236">
        <f>DI_EEM_Savings_16CTZ!$CS$30</f>
        <v>8.8045813422068693E-3</v>
      </c>
      <c r="T14" s="239">
        <f>DI_EEM_Savings_16CTZ!$CW$30</f>
        <v>42.105474493951689</v>
      </c>
      <c r="U14" s="234">
        <f>DI_EEM_Savings_16CTZ!$CS$32</f>
        <v>3.1163283163513605E-2</v>
      </c>
      <c r="V14" s="235">
        <f>DI_EEM_Savings_16CTZ!$CW$32</f>
        <v>63.60401012570297</v>
      </c>
      <c r="W14" s="236">
        <f>DI_EEM_Savings_16CTZ!$CS$33</f>
        <v>3.0235271988977658E-2</v>
      </c>
      <c r="X14" s="237">
        <f>DI_EEM_Savings_16CTZ!$CW$33</f>
        <v>58.180895449977051</v>
      </c>
      <c r="Y14" s="238">
        <f>DI_EEM_Savings_16CTZ!$CS$37</f>
        <v>5.8975589782636041E-2</v>
      </c>
      <c r="Z14" s="235">
        <f>DI_EEM_Savings_16CTZ!$CW$37</f>
        <v>267.35708496297275</v>
      </c>
      <c r="AA14" s="236">
        <f>DI_EEM_Savings_16CTZ!$CS$38</f>
        <v>6.1501229033835321E-2</v>
      </c>
      <c r="AB14" s="235">
        <f>DI_EEM_Savings_16CTZ!$CW$38</f>
        <v>274.16162174494735</v>
      </c>
      <c r="AC14" s="234">
        <f>DI_EEM_Savings_16CTZ!$CS$39</f>
        <v>1.8905184343858621E-2</v>
      </c>
      <c r="AD14" s="235">
        <f>DI_EEM_Savings_16CTZ!$CW$39</f>
        <v>87.518124742019978</v>
      </c>
      <c r="AE14" s="238">
        <f>DI_EEM_Savings_16CTZ!$CS$40</f>
        <v>1.9690354976473222E-2</v>
      </c>
      <c r="AF14" s="237">
        <f>DI_EEM_Savings_16CTZ!$CW$40</f>
        <v>90.008747618639987</v>
      </c>
      <c r="AG14" s="236">
        <f>DI_EEM_Savings_16CTZ!$CS$42</f>
        <v>2.1423376612969933E-2</v>
      </c>
      <c r="AH14" s="235">
        <f>DI_EEM_Savings_16CTZ!$CW$42</f>
        <v>95.329654085233557</v>
      </c>
      <c r="AI14" s="236">
        <f>DI_EEM_Savings_16CTZ!$CS$43</f>
        <v>2.2930547557450606E-2</v>
      </c>
      <c r="AJ14" s="235">
        <f>DI_EEM_Savings_16CTZ!$CW$43</f>
        <v>99.530939081975575</v>
      </c>
      <c r="AK14" s="238">
        <f>DI_EEM_Savings_16CTZ!$CS$45</f>
        <v>-1.9836716836486391E-2</v>
      </c>
      <c r="AL14" s="235">
        <f>DI_EEM_Savings_16CTZ!$CW$45</f>
        <v>-204.24609613251698</v>
      </c>
      <c r="AM14" s="236">
        <f>DI_EEM_Savings_16CTZ!$CS$46</f>
        <v>-2.0764728011022335E-2</v>
      </c>
      <c r="AN14" s="237">
        <f>DI_EEM_Savings_16CTZ!$CW$46</f>
        <v>-215.7221718475767</v>
      </c>
      <c r="AO14" s="230">
        <f>'Cooling Load'!$C$19+DI_EEM_Savings_16CTZ!$CO$21</f>
        <v>8.0655222425508474E-2</v>
      </c>
      <c r="AP14" s="230">
        <f>'Cooling Load'!$G$19+DI_EEM_Savings_16CTZ!$CQ$21</f>
        <v>1.8612002605422499E-2</v>
      </c>
      <c r="AQ14" s="230">
        <f>'Cooling Load'!$C$19+DI_EEM_Savings_16CTZ!$CO$22</f>
        <v>8.2563366106868791E-2</v>
      </c>
      <c r="AR14" s="230">
        <f>'Cooling Load'!$G$19+DI_EEM_Savings_16CTZ!$CQ$22</f>
        <v>1.9518592183684545E-2</v>
      </c>
      <c r="AS14" s="230">
        <f>'Cooling Load'!$D$19+DI_EEM_Savings_16CTZ!$CO$24</f>
        <v>6.7207435595174572E-2</v>
      </c>
      <c r="AT14" s="230">
        <f>'Cooling Load'!$H$19+DI_EEM_Savings_16CTZ!$CQ$24</f>
        <v>1.8612002605422499E-2</v>
      </c>
      <c r="AU14" s="230">
        <f>'Cooling Load'!$D$19+DI_EEM_Savings_16CTZ!$CO$25</f>
        <v>7.0134047583253506E-2</v>
      </c>
      <c r="AV14" s="230">
        <f>'Cooling Load'!$H$19+DI_EEM_Savings_16CTZ!$CQ$25</f>
        <v>1.9518592183684545E-2</v>
      </c>
      <c r="AW14" s="230">
        <f>'Cooling Load'!$E$19+DI_EEM_Savings_16CTZ!$CO$26</f>
        <v>5.0118789801561668E-2</v>
      </c>
      <c r="AX14" s="230">
        <f>'Cooling Load'!$G$19+DI_EEM_Savings_16CTZ!$CQ$26</f>
        <v>1.8612002605422499E-2</v>
      </c>
      <c r="AY14" s="230">
        <f>'Cooling Load'!$E$19+DI_EEM_Savings_16CTZ!$CO$27</f>
        <v>5.1299703410786504E-2</v>
      </c>
      <c r="AZ14" s="230">
        <f>'Cooling Load'!$G$19+DI_EEM_Savings_16CTZ!$CQ$27</f>
        <v>1.9518592183684545E-2</v>
      </c>
      <c r="BA14" s="230">
        <f>'Cooling Load'!$F$19+DI_EEM_Savings_16CTZ!$CO$29</f>
        <v>2.7137030156397159E-2</v>
      </c>
      <c r="BB14" s="230">
        <f>'Cooling Load'!$H$19+DI_EEM_Savings_16CTZ!$CQ$29</f>
        <v>1.8612002605422499E-2</v>
      </c>
      <c r="BC14" s="230">
        <f>'Cooling Load'!$F$19+DI_EEM_Savings_16CTZ!$CO$38</f>
        <v>3.6134047583253504E-2</v>
      </c>
      <c r="BD14" s="230">
        <f>'Cooling Load'!$H$19+DI_EEM_Savings_16CTZ!$CQ$38</f>
        <v>1.7249485216084857E-2</v>
      </c>
      <c r="BE14" s="230">
        <f>'Cooling Load'!$D$19+DI_EEM_Savings_16CTZ!$CO$37</f>
        <v>6.7207435595174572E-2</v>
      </c>
      <c r="BF14" s="230">
        <f>'Cooling Load'!$I$19+DI_EEM_Savings_16CTZ!$CQ$37</f>
        <v>8.231845812538538E-3</v>
      </c>
      <c r="BG14" s="230">
        <f>'Cooling Load'!$D$19+DI_EEM_Savings_16CTZ!$CO$27</f>
        <v>6.2299703410786507E-2</v>
      </c>
      <c r="BH14" s="230">
        <f>'Cooling Load'!$I$19+DI_EEM_Savings_16CTZ!$CQ$27</f>
        <v>1.0901925517017878E-2</v>
      </c>
      <c r="BI14" s="230">
        <f>'Cooling Load'!$F$19+DI_EEM_Savings_16CTZ!$CO$39</f>
        <v>2.7137030156397159E-2</v>
      </c>
      <c r="BJ14" s="230">
        <f>'Cooling Load'!$I$19+DI_EEM_Savings_16CTZ!$CQ$39</f>
        <v>8.231845812538538E-3</v>
      </c>
      <c r="BK14" s="230">
        <f>'Cooling Load'!$F$19+DI_EEM_Savings_16CTZ!$CO$38</f>
        <v>3.6134047583253504E-2</v>
      </c>
      <c r="BL14" s="230">
        <f>'Cooling Load'!$I$19+DI_EEM_Savings_16CTZ!$CQ$38</f>
        <v>8.6328185494181919E-3</v>
      </c>
    </row>
    <row r="15" spans="2:64" s="240" customFormat="1" x14ac:dyDescent="0.25">
      <c r="B15" s="231">
        <v>9</v>
      </c>
      <c r="C15" s="232" t="s">
        <v>223</v>
      </c>
      <c r="D15" s="233" t="str">
        <f t="shared" si="0"/>
        <v>/Fixture</v>
      </c>
      <c r="E15" s="234">
        <f>DI_EEM_Savings_16CTZ!$DD$21</f>
        <v>6.2439339069132876E-2</v>
      </c>
      <c r="F15" s="235">
        <f>DI_EEM_Savings_16CTZ!$DH$21</f>
        <v>293.54152339001354</v>
      </c>
      <c r="G15" s="236">
        <f>DI_EEM_Savings_16CTZ!$DD$22</f>
        <v>6.3582858365080736E-2</v>
      </c>
      <c r="H15" s="237">
        <f>DI_EEM_Savings_16CTZ!$DH$22</f>
        <v>297.55613610104683</v>
      </c>
      <c r="I15" s="234">
        <f>DI_EEM_Savings_16CTZ!$DD$24</f>
        <v>4.9394361133083813E-2</v>
      </c>
      <c r="J15" s="235">
        <f>DI_EEM_Savings_16CTZ!$DH$24</f>
        <v>227.46606307534063</v>
      </c>
      <c r="K15" s="238">
        <f>DI_EEM_Savings_16CTZ!$DD$25</f>
        <v>5.1700711430813076E-2</v>
      </c>
      <c r="L15" s="237">
        <f>DI_EEM_Savings_16CTZ!$DH$25</f>
        <v>234.64215139038137</v>
      </c>
      <c r="M15" s="234">
        <f>DI_EEM_Savings_16CTZ!$DD$26</f>
        <v>3.16152836106657E-2</v>
      </c>
      <c r="N15" s="235">
        <f>DI_EEM_Savings_16CTZ!$DH$26</f>
        <v>149.79028412622881</v>
      </c>
      <c r="O15" s="238">
        <f>DI_EEM_Savings_16CTZ!$DD$27</f>
        <v>3.1928491675789428E-2</v>
      </c>
      <c r="P15" s="237">
        <f>DI_EEM_Savings_16CTZ!$DH$27</f>
        <v>151.12309134985898</v>
      </c>
      <c r="Q15" s="234">
        <f>DI_EEM_Savings_16CTZ!$DD$29</f>
        <v>8.6355923597139558E-3</v>
      </c>
      <c r="R15" s="235">
        <f>DI_EEM_Savings_16CTZ!$DH$29</f>
        <v>41.559439878160831</v>
      </c>
      <c r="S15" s="236">
        <f>DI_EEM_Savings_16CTZ!$DD$30</f>
        <v>8.9547714769883033E-3</v>
      </c>
      <c r="T15" s="239">
        <f>DI_EEM_Savings_16CTZ!$DH$30</f>
        <v>42.914647159083245</v>
      </c>
      <c r="U15" s="234">
        <f>DI_EEM_Savings_16CTZ!$DD$32</f>
        <v>3.0907037931132374E-2</v>
      </c>
      <c r="V15" s="235">
        <f>DI_EEM_Savings_16CTZ!$DH$32</f>
        <v>62.038549151061716</v>
      </c>
      <c r="W15" s="236">
        <f>DI_EEM_Savings_16CTZ!$DD$33</f>
        <v>2.9885102118545906E-2</v>
      </c>
      <c r="X15" s="237">
        <f>DI_EEM_Savings_16CTZ!$DH$33</f>
        <v>56.126534970855047</v>
      </c>
      <c r="Y15" s="238">
        <f>DI_EEM_Savings_16CTZ!$DD$37</f>
        <v>5.9974491709604914E-2</v>
      </c>
      <c r="Z15" s="235">
        <f>DI_EEM_Savings_16CTZ!$DH$37</f>
        <v>270.73263549756501</v>
      </c>
      <c r="AA15" s="236">
        <f>DI_EEM_Savings_16CTZ!$DD$38</f>
        <v>6.2858127460699478E-2</v>
      </c>
      <c r="AB15" s="235">
        <f>DI_EEM_Savings_16CTZ!$DH$38</f>
        <v>278.51462487985799</v>
      </c>
      <c r="AC15" s="234">
        <f>DI_EEM_Savings_16CTZ!$DD$39</f>
        <v>1.9215722936235052E-2</v>
      </c>
      <c r="AD15" s="235">
        <f>DI_EEM_Savings_16CTZ!$DH$39</f>
        <v>88.761508635573847</v>
      </c>
      <c r="AE15" s="238">
        <f>DI_EEM_Savings_16CTZ!$DD$40</f>
        <v>2.0112187506874699E-2</v>
      </c>
      <c r="AF15" s="237">
        <f>DI_EEM_Savings_16CTZ!$DH$40</f>
        <v>91.611676283527032</v>
      </c>
      <c r="AG15" s="236">
        <f>DI_EEM_Savings_16CTZ!$DD$42</f>
        <v>2.1839541180276797E-2</v>
      </c>
      <c r="AH15" s="235">
        <f>DI_EEM_Savings_16CTZ!$DH$42</f>
        <v>96.766649008338476</v>
      </c>
      <c r="AI15" s="236">
        <f>DI_EEM_Savings_16CTZ!$DD$43</f>
        <v>2.3499253914473953E-2</v>
      </c>
      <c r="AJ15" s="235">
        <f>DI_EEM_Savings_16CTZ!$DH$43</f>
        <v>101.39703351791354</v>
      </c>
      <c r="AK15" s="238">
        <f>DI_EEM_Savings_16CTZ!$DD$45</f>
        <v>-2.0092962068867622E-2</v>
      </c>
      <c r="AL15" s="235">
        <f>DI_EEM_Savings_16CTZ!$DH$45</f>
        <v>-207.69985655334236</v>
      </c>
      <c r="AM15" s="236">
        <f>DI_EEM_Savings_16CTZ!$DD$46</f>
        <v>-2.1114897881454087E-2</v>
      </c>
      <c r="AN15" s="237">
        <f>DI_EEM_Savings_16CTZ!$DH$46</f>
        <v>-220.24217815032415</v>
      </c>
      <c r="AO15" s="230">
        <f>'Cooling Load'!$C$19+DI_EEM_Savings_16CTZ!$CZ$21</f>
        <v>8.1409902017750016E-2</v>
      </c>
      <c r="AP15" s="230">
        <f>'Cooling Load'!$G$19+DI_EEM_Savings_16CTZ!$DB$21</f>
        <v>1.8970562948617133E-2</v>
      </c>
      <c r="AQ15" s="230">
        <f>'Cooling Load'!$C$19+DI_EEM_Savings_16CTZ!$CZ$22</f>
        <v>8.3588515347101405E-2</v>
      </c>
      <c r="AR15" s="230">
        <f>'Cooling Load'!$G$19+DI_EEM_Savings_16CTZ!$DB$22</f>
        <v>2.0005656982020684E-2</v>
      </c>
      <c r="AS15" s="230">
        <f>'Cooling Load'!$D$19+DI_EEM_Savings_16CTZ!$CZ$24</f>
        <v>6.8364924081700945E-2</v>
      </c>
      <c r="AT15" s="230">
        <f>'Cooling Load'!$H$19+DI_EEM_Savings_16CTZ!$DB$24</f>
        <v>1.8970562948617133E-2</v>
      </c>
      <c r="AU15" s="230">
        <f>'Cooling Load'!$D$19+DI_EEM_Savings_16CTZ!$CZ$25</f>
        <v>7.1706368412833746E-2</v>
      </c>
      <c r="AV15" s="230">
        <f>'Cooling Load'!$H$19+DI_EEM_Savings_16CTZ!$DB$25</f>
        <v>2.000565698202068E-2</v>
      </c>
      <c r="AW15" s="230">
        <f>'Cooling Load'!$E$19+DI_EEM_Savings_16CTZ!$CZ$26</f>
        <v>5.0585846559282832E-2</v>
      </c>
      <c r="AX15" s="230">
        <f>'Cooling Load'!$G$19+DI_EEM_Savings_16CTZ!$DB$26</f>
        <v>1.8970562948617133E-2</v>
      </c>
      <c r="AY15" s="230">
        <f>'Cooling Load'!$E$19+DI_EEM_Savings_16CTZ!$CZ$27</f>
        <v>5.1934148657810111E-2</v>
      </c>
      <c r="AZ15" s="230">
        <f>'Cooling Load'!$G$19+DI_EEM_Savings_16CTZ!$DB$27</f>
        <v>2.000565698202068E-2</v>
      </c>
      <c r="BA15" s="230">
        <f>'Cooling Load'!$F$19+DI_EEM_Savings_16CTZ!$CZ$29</f>
        <v>2.760615530833109E-2</v>
      </c>
      <c r="BB15" s="230">
        <f>'Cooling Load'!$H$19+DI_EEM_Savings_16CTZ!$DB$29</f>
        <v>1.8970562948617133E-2</v>
      </c>
      <c r="BC15" s="230">
        <f>'Cooling Load'!$F$19+DI_EEM_Savings_16CTZ!$CZ$38</f>
        <v>3.770636841283375E-2</v>
      </c>
      <c r="BD15" s="230">
        <f>'Cooling Load'!$H$19+DI_EEM_Savings_16CTZ!$DB$38</f>
        <v>1.7464907618800946E-2</v>
      </c>
      <c r="BE15" s="230">
        <f>'Cooling Load'!$D$19+DI_EEM_Savings_16CTZ!$CZ$37</f>
        <v>6.8364924081700945E-2</v>
      </c>
      <c r="BF15" s="230">
        <f>'Cooling Load'!$I$19+DI_EEM_Savings_16CTZ!$DB$37</f>
        <v>8.3904323720960343E-3</v>
      </c>
      <c r="BG15" s="230">
        <f>'Cooling Load'!$D$19+DI_EEM_Savings_16CTZ!$CZ$27</f>
        <v>6.2934148657810107E-2</v>
      </c>
      <c r="BH15" s="230">
        <f>'Cooling Load'!$I$19+DI_EEM_Savings_16CTZ!$DB$27</f>
        <v>1.1388990315354014E-2</v>
      </c>
      <c r="BI15" s="230">
        <f>'Cooling Load'!$F$19+DI_EEM_Savings_16CTZ!$CZ$39</f>
        <v>2.760615530833109E-2</v>
      </c>
      <c r="BJ15" s="230">
        <f>'Cooling Load'!$I$19+DI_EEM_Savings_16CTZ!$DB$39</f>
        <v>8.3904323720960343E-3</v>
      </c>
      <c r="BK15" s="230">
        <f>'Cooling Load'!$F$19+DI_EEM_Savings_16CTZ!$CZ$38</f>
        <v>3.770636841283375E-2</v>
      </c>
      <c r="BL15" s="230">
        <f>'Cooling Load'!$I$19+DI_EEM_Savings_16CTZ!$DB$38</f>
        <v>8.8482409521342814E-3</v>
      </c>
    </row>
    <row r="16" spans="2:64" s="240" customFormat="1" ht="15.6" x14ac:dyDescent="0.25">
      <c r="B16" s="231">
        <v>10</v>
      </c>
      <c r="C16" s="232" t="s">
        <v>55</v>
      </c>
      <c r="D16" s="233" t="str">
        <f t="shared" si="0"/>
        <v>/Fixture</v>
      </c>
      <c r="E16" s="234">
        <f>DI_EEM_Savings_16CTZ!$DO$21</f>
        <v>6.2695792327863903E-2</v>
      </c>
      <c r="F16" s="235">
        <f>DI_EEM_Savings_16CTZ!$DS$21</f>
        <v>294.52646923825597</v>
      </c>
      <c r="G16" s="236">
        <f>DI_EEM_Savings_16CTZ!$DO$22</f>
        <v>6.3920900208412831E-2</v>
      </c>
      <c r="H16" s="237">
        <f>DI_EEM_Savings_16CTZ!$DS$22</f>
        <v>298.79010969015178</v>
      </c>
      <c r="I16" s="234">
        <f>DI_EEM_Savings_16CTZ!$DO$24</f>
        <v>4.9911598622406364E-2</v>
      </c>
      <c r="J16" s="235">
        <f>DI_EEM_Savings_16CTZ!$DS$24</f>
        <v>229.22251690294178</v>
      </c>
      <c r="K16" s="238">
        <f>DI_EEM_Savings_16CTZ!$DO$25</f>
        <v>5.238250395392717E-2</v>
      </c>
      <c r="L16" s="237">
        <f>DI_EEM_Savings_16CTZ!$DS$25</f>
        <v>236.84280170299337</v>
      </c>
      <c r="M16" s="234">
        <f>DI_EEM_Savings_16CTZ!$DO$26</f>
        <v>3.168552573884531E-2</v>
      </c>
      <c r="N16" s="235">
        <f>DI_EEM_Savings_16CTZ!$DS$26</f>
        <v>150.12194375485205</v>
      </c>
      <c r="O16" s="238">
        <f>DI_EEM_Savings_16CTZ!$DO$27</f>
        <v>3.2021080783866653E-2</v>
      </c>
      <c r="P16" s="237">
        <f>DI_EEM_Savings_16CTZ!$DS$27</f>
        <v>151.53848668736603</v>
      </c>
      <c r="Q16" s="234">
        <f>DI_EEM_Savings_16CTZ!$DO$29</f>
        <v>8.707173595845219E-3</v>
      </c>
      <c r="R16" s="235">
        <f>DI_EEM_Savings_16CTZ!$DS$29</f>
        <v>41.896548945532956</v>
      </c>
      <c r="S16" s="236">
        <f>DI_EEM_Savings_16CTZ!$DO$30</f>
        <v>9.049125719666035E-3</v>
      </c>
      <c r="T16" s="239">
        <f>DI_EEM_Savings_16CTZ!$DS$30</f>
        <v>43.336870916965125</v>
      </c>
      <c r="U16" s="234">
        <f>DI_EEM_Savings_16CTZ!$DO$32</f>
        <v>3.0558628280128394E-2</v>
      </c>
      <c r="V16" s="235">
        <f>DI_EEM_Savings_16CTZ!$DS$32</f>
        <v>59.739020393846133</v>
      </c>
      <c r="W16" s="236">
        <f>DI_EEM_Savings_16CTZ!$DO$33</f>
        <v>2.9423478616576081E-2</v>
      </c>
      <c r="X16" s="237">
        <f>DI_EEM_Savings_16CTZ!$DS$33</f>
        <v>53.231029577976784</v>
      </c>
      <c r="Y16" s="238">
        <f>DI_EEM_Savings_16CTZ!$DO$37</f>
        <v>6.0621195082238892E-2</v>
      </c>
      <c r="Z16" s="235">
        <f>DI_EEM_Savings_16CTZ!$DS$37</f>
        <v>272.63528529802147</v>
      </c>
      <c r="AA16" s="236">
        <f>DI_EEM_Savings_16CTZ!$DO$38</f>
        <v>6.3710574418308852E-2</v>
      </c>
      <c r="AB16" s="235">
        <f>DI_EEM_Savings_16CTZ!$DS$38</f>
        <v>280.89849712492509</v>
      </c>
      <c r="AC16" s="234">
        <f>DI_EEM_Savings_16CTZ!$DO$39</f>
        <v>1.9416770055677747E-2</v>
      </c>
      <c r="AD16" s="235">
        <f>DI_EEM_Savings_16CTZ!$DS$39</f>
        <v>89.459332012675347</v>
      </c>
      <c r="AE16" s="238">
        <f>DI_EEM_Savings_16CTZ!$DO$40</f>
        <v>2.0377196184047708E-2</v>
      </c>
      <c r="AF16" s="237">
        <f>DI_EEM_Savings_16CTZ!$DS$40</f>
        <v>92.485969764001283</v>
      </c>
      <c r="AG16" s="236">
        <f>DI_EEM_Savings_16CTZ!$DO$42</f>
        <v>2.2405388787696438E-2</v>
      </c>
      <c r="AH16" s="235">
        <f>DI_EEM_Savings_16CTZ!$DS$42</f>
        <v>98.596694280478914</v>
      </c>
      <c r="AI16" s="236">
        <f>DI_EEM_Savings_16CTZ!$DO$43</f>
        <v>2.4248970672794502E-2</v>
      </c>
      <c r="AJ16" s="235">
        <f>DI_EEM_Savings_16CTZ!$DS$43</f>
        <v>103.70045355475827</v>
      </c>
      <c r="AK16" s="238">
        <f>DI_EEM_Savings_16CTZ!$DO$45</f>
        <v>-2.0441371719871607E-2</v>
      </c>
      <c r="AL16" s="235">
        <f>DI_EEM_Savings_16CTZ!$DS$45</f>
        <v>-212.5965499711489</v>
      </c>
      <c r="AM16" s="236">
        <f>DI_EEM_Savings_16CTZ!$DO$46</f>
        <v>-2.1576521383423912E-2</v>
      </c>
      <c r="AN16" s="237">
        <f>DI_EEM_Savings_16CTZ!$DS$46</f>
        <v>-226.40738286403763</v>
      </c>
      <c r="AO16" s="230">
        <f>'Cooling Load'!$C$19+DI_EEM_Savings_16CTZ!$DK$21</f>
        <v>8.1898492363192243E-2</v>
      </c>
      <c r="AP16" s="230">
        <f>'Cooling Load'!$G$19+DI_EEM_Savings_16CTZ!$DM$21</f>
        <v>1.9202700035328341E-2</v>
      </c>
      <c r="AQ16" s="230">
        <f>'Cooling Load'!$C$19+DI_EEM_Savings_16CTZ!$DK$22</f>
        <v>8.4232546863116528E-2</v>
      </c>
      <c r="AR16" s="230">
        <f>'Cooling Load'!$G$19+DI_EEM_Savings_16CTZ!$DM$22</f>
        <v>2.03116466547037E-2</v>
      </c>
      <c r="AS16" s="230">
        <f>'Cooling Load'!$D$19+DI_EEM_Savings_16CTZ!$DK$24</f>
        <v>6.9114298657734705E-2</v>
      </c>
      <c r="AT16" s="230">
        <f>'Cooling Load'!$H$19+DI_EEM_Savings_16CTZ!$DM$24</f>
        <v>1.9202700035328344E-2</v>
      </c>
      <c r="AU16" s="230">
        <f>'Cooling Load'!$D$19+DI_EEM_Savings_16CTZ!$DK$25</f>
        <v>7.2694150608630867E-2</v>
      </c>
      <c r="AV16" s="230">
        <f>'Cooling Load'!$H$19+DI_EEM_Savings_16CTZ!$DM$25</f>
        <v>2.0311646654703697E-2</v>
      </c>
      <c r="AW16" s="230">
        <f>'Cooling Load'!$E$19+DI_EEM_Savings_16CTZ!$DK$26</f>
        <v>5.0888225774173651E-2</v>
      </c>
      <c r="AX16" s="230">
        <f>'Cooling Load'!$G$19+DI_EEM_Savings_16CTZ!$DM$26</f>
        <v>1.9202700035328344E-2</v>
      </c>
      <c r="AY16" s="230">
        <f>'Cooling Load'!$E$19+DI_EEM_Savings_16CTZ!$DK$27</f>
        <v>5.2332727438570349E-2</v>
      </c>
      <c r="AZ16" s="230">
        <f>'Cooling Load'!$G$19+DI_EEM_Savings_16CTZ!$DM$27</f>
        <v>2.0311646654703697E-2</v>
      </c>
      <c r="BA16" s="230">
        <f>'Cooling Load'!$F$19+DI_EEM_Savings_16CTZ!$DK$29</f>
        <v>2.7909873631173563E-2</v>
      </c>
      <c r="BB16" s="230">
        <f>'Cooling Load'!$H$19+DI_EEM_Savings_16CTZ!$DM$29</f>
        <v>1.9202700035328344E-2</v>
      </c>
      <c r="BC16" s="230">
        <f>'Cooling Load'!$F$19+DI_EEM_Savings_16CTZ!$DK$38</f>
        <v>3.8694150608630865E-2</v>
      </c>
      <c r="BD16" s="230">
        <f>'Cooling Load'!$H$19+DI_EEM_Savings_16CTZ!$DM$38</f>
        <v>1.760024285698869E-2</v>
      </c>
      <c r="BE16" s="230">
        <f>'Cooling Load'!$D$19+DI_EEM_Savings_16CTZ!$DK$37</f>
        <v>6.9114298657734705E-2</v>
      </c>
      <c r="BF16" s="230">
        <f>'Cooling Load'!$I$19+DI_EEM_Savings_16CTZ!$DM$37</f>
        <v>8.4931035754958143E-3</v>
      </c>
      <c r="BG16" s="230">
        <f>'Cooling Load'!$D$19+DI_EEM_Savings_16CTZ!$DK$27</f>
        <v>6.3332727438570352E-2</v>
      </c>
      <c r="BH16" s="230">
        <f>'Cooling Load'!$I$19+DI_EEM_Savings_16CTZ!$DM$27</f>
        <v>1.169497998803703E-2</v>
      </c>
      <c r="BI16" s="230">
        <f>'Cooling Load'!$F$19+DI_EEM_Savings_16CTZ!$DK$39</f>
        <v>2.7909873631173563E-2</v>
      </c>
      <c r="BJ16" s="230">
        <f>'Cooling Load'!$I$19+DI_EEM_Savings_16CTZ!$DM$39</f>
        <v>8.4931035754958143E-3</v>
      </c>
      <c r="BK16" s="230">
        <f>'Cooling Load'!$F$19+DI_EEM_Savings_16CTZ!$DK$38</f>
        <v>3.8694150608630865E-2</v>
      </c>
      <c r="BL16" s="230">
        <f>'Cooling Load'!$I$19+DI_EEM_Savings_16CTZ!$DM$38</f>
        <v>8.9835761903220221E-3</v>
      </c>
    </row>
    <row r="17" spans="2:64" ht="15.6" x14ac:dyDescent="0.25">
      <c r="B17" s="70">
        <v>11</v>
      </c>
      <c r="C17" s="66" t="s">
        <v>56</v>
      </c>
      <c r="D17" s="105" t="str">
        <f t="shared" si="0"/>
        <v>/Fixture</v>
      </c>
      <c r="E17" s="71">
        <f>DI_EEM_Savings_16CTZ!$DZ$21</f>
        <v>6.2978201967600012E-2</v>
      </c>
      <c r="F17" s="68">
        <f>DI_EEM_Savings_16CTZ!$ED$21</f>
        <v>295.73393197359616</v>
      </c>
      <c r="G17" s="67">
        <f>DI_EEM_Savings_16CTZ!$DZ$22</f>
        <v>6.4286317386133843E-2</v>
      </c>
      <c r="H17" s="100">
        <f>DI_EEM_Savings_16CTZ!$ED$22</f>
        <v>300.27014888432791</v>
      </c>
      <c r="I17" s="71">
        <f>DI_EEM_Savings_16CTZ!$DZ$24</f>
        <v>5.0481187224011105E-2</v>
      </c>
      <c r="J17" s="68">
        <f>DI_EEM_Savings_16CTZ!$ED$24</f>
        <v>231.2164057179551</v>
      </c>
      <c r="K17" s="104">
        <f>DI_EEM_Savings_16CTZ!$DZ$25</f>
        <v>5.3119509459316275E-2</v>
      </c>
      <c r="L17" s="100">
        <f>DI_EEM_Savings_16CTZ!$ED$25</f>
        <v>239.2865537932372</v>
      </c>
      <c r="M17" s="71">
        <f>DI_EEM_Savings_16CTZ!$DZ$26</f>
        <v>3.1762877277334844E-2</v>
      </c>
      <c r="N17" s="68">
        <f>DI_EEM_Savings_16CTZ!$ED$26</f>
        <v>150.70873124213162</v>
      </c>
      <c r="O17" s="104">
        <f>DI_EEM_Savings_16CTZ!$DZ$27</f>
        <v>3.212116795126517E-2</v>
      </c>
      <c r="P17" s="100">
        <f>DI_EEM_Savings_16CTZ!$ED$27</f>
        <v>152.25801274356604</v>
      </c>
      <c r="Q17" s="71">
        <f>DI_EEM_Savings_16CTZ!$DZ$29</f>
        <v>8.7859997773011463E-3</v>
      </c>
      <c r="R17" s="68">
        <f>DI_EEM_Savings_16CTZ!$ED$29</f>
        <v>42.488233869271987</v>
      </c>
      <c r="S17" s="67">
        <f>DI_EEM_Savings_16CTZ!$DZ$30</f>
        <v>9.1511209659510574E-3</v>
      </c>
      <c r="T17" s="113">
        <f>DI_EEM_Savings_16CTZ!$ED$30</f>
        <v>44.062397248214275</v>
      </c>
      <c r="U17" s="71">
        <f>DI_EEM_Savings_16CTZ!$DZ$32</f>
        <v>3.0296955644909751E-2</v>
      </c>
      <c r="V17" s="68">
        <f>DI_EEM_Savings_16CTZ!$ED$32</f>
        <v>59.531984830251389</v>
      </c>
      <c r="W17" s="67">
        <f>DI_EEM_Savings_16CTZ!$DZ$33</f>
        <v>2.9084893588325035E-2</v>
      </c>
      <c r="X17" s="100">
        <f>DI_EEM_Savings_16CTZ!$ED$33</f>
        <v>52.979683611496142</v>
      </c>
      <c r="Y17" s="104">
        <f>DI_EEM_Savings_16CTZ!$DZ$37</f>
        <v>6.1333353186157673E-2</v>
      </c>
      <c r="Z17" s="68">
        <f>DI_EEM_Savings_16CTZ!$ED$37</f>
        <v>274.71360136116596</v>
      </c>
      <c r="AA17" s="67">
        <f>DI_EEM_Savings_16CTZ!$DZ$38</f>
        <v>6.4632054310667764E-2</v>
      </c>
      <c r="AB17" s="68">
        <f>DI_EEM_Savings_16CTZ!$ED$38</f>
        <v>283.44559050916661</v>
      </c>
      <c r="AC17" s="71">
        <f>DI_EEM_Savings_16CTZ!$DZ$39</f>
        <v>1.963816573944771E-2</v>
      </c>
      <c r="AD17" s="68">
        <f>DI_EEM_Savings_16CTZ!$ED$39</f>
        <v>90.259327165056177</v>
      </c>
      <c r="AE17" s="104">
        <f>DI_EEM_Savings_16CTZ!$DZ$40</f>
        <v>2.066366581730255E-2</v>
      </c>
      <c r="AF17" s="100">
        <f>DI_EEM_Savings_16CTZ!$ED$40</f>
        <v>93.466473594307885</v>
      </c>
      <c r="AG17" s="67">
        <f>DI_EEM_Savings_16CTZ!$DZ$42</f>
        <v>2.2830367929746583E-2</v>
      </c>
      <c r="AH17" s="68">
        <f>DI_EEM_Savings_16CTZ!$ED$42</f>
        <v>99.914478898886216</v>
      </c>
      <c r="AI17" s="67">
        <f>DI_EEM_Savings_16CTZ!$DZ$43</f>
        <v>2.4798862237485328E-2</v>
      </c>
      <c r="AJ17" s="68">
        <f>DI_EEM_Savings_16CTZ!$ED$43</f>
        <v>105.31552979449464</v>
      </c>
      <c r="AK17" s="104">
        <f>DI_EEM_Savings_16CTZ!$DZ$45</f>
        <v>-2.0703044355090249E-2</v>
      </c>
      <c r="AL17" s="68">
        <f>DI_EEM_Savings_16CTZ!$ED$45</f>
        <v>-213.76257284488739</v>
      </c>
      <c r="AM17" s="67">
        <f>DI_EEM_Savings_16CTZ!$DZ$46</f>
        <v>-2.1915106411674955E-2</v>
      </c>
      <c r="AN17" s="100">
        <f>DI_EEM_Savings_16CTZ!$ED$46</f>
        <v>-227.83255590354565</v>
      </c>
      <c r="AO17" s="164">
        <f>'Cooling Load'!$C$19+DI_EEM_Savings_16CTZ!$DV$21</f>
        <v>8.2436534360075572E-2</v>
      </c>
      <c r="AP17" s="164">
        <f>'Cooling Load'!$G$19+DI_EEM_Savings_16CTZ!$DX$21</f>
        <v>1.9458332392475568E-2</v>
      </c>
      <c r="AQ17" s="159">
        <f>'Cooling Load'!$C$19+DI_EEM_Savings_16CTZ!$DV$22</f>
        <v>8.4928733396197359E-2</v>
      </c>
      <c r="AR17" s="159">
        <f>'Cooling Load'!$G$19+DI_EEM_Savings_16CTZ!$DX$22</f>
        <v>2.0642416010063513E-2</v>
      </c>
      <c r="AS17" s="164">
        <f>'Cooling Load'!$D$19+DI_EEM_Savings_16CTZ!$DV$24</f>
        <v>6.9939519616486673E-2</v>
      </c>
      <c r="AT17" s="164">
        <f>'Cooling Load'!$H$19+DI_EEM_Savings_16CTZ!$DX$24</f>
        <v>1.9458332392475568E-2</v>
      </c>
      <c r="AU17" s="159">
        <f>'Cooling Load'!$D$19+DI_EEM_Savings_16CTZ!$DV$25</f>
        <v>7.3761925469379777E-2</v>
      </c>
      <c r="AV17" s="159">
        <f>'Cooling Load'!$H$19+DI_EEM_Savings_16CTZ!$DX$25</f>
        <v>2.0642416010063509E-2</v>
      </c>
      <c r="AW17" s="164">
        <f>'Cooling Load'!$E$19+DI_EEM_Savings_16CTZ!$DV$26</f>
        <v>5.1221209669810412E-2</v>
      </c>
      <c r="AX17" s="164">
        <f>'Cooling Load'!$G$19+DI_EEM_Savings_16CTZ!$DX$26</f>
        <v>1.9458332392475568E-2</v>
      </c>
      <c r="AY17" s="159">
        <f>'Cooling Load'!$E$19+DI_EEM_Savings_16CTZ!$DV$27</f>
        <v>5.2763583961328679E-2</v>
      </c>
      <c r="AZ17" s="159">
        <f>'Cooling Load'!$G$19+DI_EEM_Savings_16CTZ!$DX$27</f>
        <v>2.0642416010063509E-2</v>
      </c>
      <c r="BA17" s="164">
        <f>'Cooling Load'!$F$19+DI_EEM_Savings_16CTZ!$DV$29</f>
        <v>2.8244332169776714E-2</v>
      </c>
      <c r="BB17" s="164">
        <f>'Cooling Load'!$H$19+DI_EEM_Savings_16CTZ!$DX$29</f>
        <v>1.9458332392475568E-2</v>
      </c>
      <c r="BC17" s="159">
        <f>'Cooling Load'!$F$19+DI_EEM_Savings_16CTZ!$DV$38</f>
        <v>3.9761925469379775E-2</v>
      </c>
      <c r="BD17" s="159">
        <f>'Cooling Load'!$H$19+DI_EEM_Savings_16CTZ!$DX$38</f>
        <v>1.7746537825378682E-2</v>
      </c>
      <c r="BE17" s="164">
        <f>'Cooling Load'!$D$19+DI_EEM_Savings_16CTZ!$DV$37</f>
        <v>6.9939519616486673E-2</v>
      </c>
      <c r="BF17" s="164">
        <f>'Cooling Load'!$I$19+DI_EEM_Savings_16CTZ!$DX$37</f>
        <v>8.606166430329E-3</v>
      </c>
      <c r="BG17" s="159">
        <f>'Cooling Load'!$D$19+DI_EEM_Savings_16CTZ!$DV$27</f>
        <v>6.3763583961328682E-2</v>
      </c>
      <c r="BH17" s="159">
        <f>'Cooling Load'!$I$19+DI_EEM_Savings_16CTZ!$DX$27</f>
        <v>1.2025749343396844E-2</v>
      </c>
      <c r="BI17" s="164">
        <f>'Cooling Load'!$F$19+DI_EEM_Savings_16CTZ!$DV$39</f>
        <v>2.8244332169776714E-2</v>
      </c>
      <c r="BJ17" s="164">
        <f>'Cooling Load'!$I$19+DI_EEM_Savings_16CTZ!$DX$39</f>
        <v>8.606166430329E-3</v>
      </c>
      <c r="BK17" s="159">
        <f>'Cooling Load'!$F$19+DI_EEM_Savings_16CTZ!$DV$38</f>
        <v>3.9761925469379775E-2</v>
      </c>
      <c r="BL17" s="159">
        <f>'Cooling Load'!$I$19+DI_EEM_Savings_16CTZ!$DX$38</f>
        <v>9.1298711587120152E-3</v>
      </c>
    </row>
    <row r="18" spans="2:64" ht="15.6" x14ac:dyDescent="0.25">
      <c r="B18" s="70">
        <v>12</v>
      </c>
      <c r="C18" s="66" t="s">
        <v>57</v>
      </c>
      <c r="D18" s="105" t="str">
        <f t="shared" si="0"/>
        <v>/Fixture</v>
      </c>
      <c r="E18" s="71">
        <f>DI_EEM_Savings_16CTZ!$EK$21</f>
        <v>6.2695792327863903E-2</v>
      </c>
      <c r="F18" s="68">
        <f>DI_EEM_Savings_16CTZ!$EO$21</f>
        <v>293.5231371419336</v>
      </c>
      <c r="G18" s="67">
        <f>DI_EEM_Savings_16CTZ!$EK$22</f>
        <v>6.3920900208412831E-2</v>
      </c>
      <c r="H18" s="100">
        <f>DI_EEM_Savings_16CTZ!$EO$22</f>
        <v>297.55869834832504</v>
      </c>
      <c r="I18" s="71">
        <f>DI_EEM_Savings_16CTZ!$EK$24</f>
        <v>4.9911598622406364E-2</v>
      </c>
      <c r="J18" s="68">
        <f>DI_EEM_Savings_16CTZ!$EO$24</f>
        <v>227.58533529863726</v>
      </c>
      <c r="K18" s="104">
        <f>DI_EEM_Savings_16CTZ!$EK$25</f>
        <v>5.238250395392717E-2</v>
      </c>
      <c r="L18" s="100">
        <f>DI_EEM_Savings_16CTZ!$EO$25</f>
        <v>234.83345305007936</v>
      </c>
      <c r="M18" s="71">
        <f>DI_EEM_Savings_16CTZ!$EK$26</f>
        <v>3.168552573884531E-2</v>
      </c>
      <c r="N18" s="68">
        <f>DI_EEM_Savings_16CTZ!$EO$26</f>
        <v>149.61216798372206</v>
      </c>
      <c r="O18" s="104">
        <f>DI_EEM_Savings_16CTZ!$EK$27</f>
        <v>3.2021080783866653E-2</v>
      </c>
      <c r="P18" s="100">
        <f>DI_EEM_Savings_16CTZ!$EO$27</f>
        <v>150.91282777676309</v>
      </c>
      <c r="Q18" s="71">
        <f>DI_EEM_Savings_16CTZ!$EK$29</f>
        <v>8.707173595845219E-3</v>
      </c>
      <c r="R18" s="68">
        <f>DI_EEM_Savings_16CTZ!$EO$29</f>
        <v>41.382923253627332</v>
      </c>
      <c r="S18" s="67">
        <f>DI_EEM_Savings_16CTZ!$EK$30</f>
        <v>9.049125719666035E-3</v>
      </c>
      <c r="T18" s="113">
        <f>DI_EEM_Savings_16CTZ!$EO$30</f>
        <v>42.706486914714489</v>
      </c>
      <c r="U18" s="71">
        <f>DI_EEM_Savings_16CTZ!$EK$32</f>
        <v>3.0558628280128394E-2</v>
      </c>
      <c r="V18" s="68">
        <f>DI_EEM_Savings_16CTZ!$EO$32</f>
        <v>59.715486246952537</v>
      </c>
      <c r="W18" s="67">
        <f>DI_EEM_Savings_16CTZ!$EK$33</f>
        <v>2.9423478616576081E-2</v>
      </c>
      <c r="X18" s="100">
        <f>DI_EEM_Savings_16CTZ!$EO$33</f>
        <v>53.202145606746114</v>
      </c>
      <c r="Y18" s="104">
        <f>DI_EEM_Savings_16CTZ!$EK$37</f>
        <v>6.0621195082238892E-2</v>
      </c>
      <c r="Z18" s="68">
        <f>DI_EEM_Savings_16CTZ!$EO$37</f>
        <v>270.93962243244067</v>
      </c>
      <c r="AA18" s="67">
        <f>DI_EEM_Savings_16CTZ!$EK$38</f>
        <v>6.3710574418308852E-2</v>
      </c>
      <c r="AB18" s="68">
        <f>DI_EEM_Savings_16CTZ!$EO$38</f>
        <v>278.81737314589128</v>
      </c>
      <c r="AC18" s="71">
        <f>DI_EEM_Savings_16CTZ!$EK$39</f>
        <v>1.9416770055677747E-2</v>
      </c>
      <c r="AD18" s="68">
        <f>DI_EEM_Savings_16CTZ!$EO$39</f>
        <v>88.801413510363403</v>
      </c>
      <c r="AE18" s="104">
        <f>DI_EEM_Savings_16CTZ!$EK$40</f>
        <v>2.0377196184047708E-2</v>
      </c>
      <c r="AF18" s="100">
        <f>DI_EEM_Savings_16CTZ!$EO$40</f>
        <v>91.678492051771983</v>
      </c>
      <c r="AG18" s="67">
        <f>DI_EEM_Savings_16CTZ!$EK$42</f>
        <v>2.2405388787696438E-2</v>
      </c>
      <c r="AH18" s="68">
        <f>DI_EEM_Savings_16CTZ!$EO$42</f>
        <v>97.516944167332014</v>
      </c>
      <c r="AI18" s="67">
        <f>DI_EEM_Savings_16CTZ!$EK$43</f>
        <v>2.4248970672794502E-2</v>
      </c>
      <c r="AJ18" s="68">
        <f>DI_EEM_Savings_16CTZ!$EO$43</f>
        <v>102.37525271593186</v>
      </c>
      <c r="AK18" s="104">
        <f>DI_EEM_Savings_16CTZ!$EK$45</f>
        <v>-2.0441371719871607E-2</v>
      </c>
      <c r="AL18" s="68">
        <f>DI_EEM_Savings_16CTZ!$EO$45</f>
        <v>-211.9558105726345</v>
      </c>
      <c r="AM18" s="67">
        <f>DI_EEM_Savings_16CTZ!$EK$46</f>
        <v>-2.1576521383423912E-2</v>
      </c>
      <c r="AN18" s="100">
        <f>DI_EEM_Savings_16CTZ!$EO$46</f>
        <v>-225.62098944018726</v>
      </c>
      <c r="AO18" s="164">
        <f>'Cooling Load'!$C$19+DI_EEM_Savings_16CTZ!$EG$21</f>
        <v>8.1898492363192243E-2</v>
      </c>
      <c r="AP18" s="164">
        <f>'Cooling Load'!$G$19+DI_EEM_Savings_16CTZ!$EI$21</f>
        <v>1.9202700035328341E-2</v>
      </c>
      <c r="AQ18" s="159">
        <f>'Cooling Load'!$C$19+DI_EEM_Savings_16CTZ!$EG$22</f>
        <v>8.4232546863116528E-2</v>
      </c>
      <c r="AR18" s="159">
        <f>'Cooling Load'!$G$19+DI_EEM_Savings_16CTZ!$EI$22</f>
        <v>2.03116466547037E-2</v>
      </c>
      <c r="AS18" s="164">
        <f>'Cooling Load'!$D$19+DI_EEM_Savings_16CTZ!$EG$24</f>
        <v>6.9114298657734705E-2</v>
      </c>
      <c r="AT18" s="164">
        <f>'Cooling Load'!$H$19+DI_EEM_Savings_16CTZ!$EI$24</f>
        <v>1.9202700035328344E-2</v>
      </c>
      <c r="AU18" s="159">
        <f>'Cooling Load'!$D$19+DI_EEM_Savings_16CTZ!$EG$25</f>
        <v>7.2694150608630867E-2</v>
      </c>
      <c r="AV18" s="159">
        <f>'Cooling Load'!$H$19+DI_EEM_Savings_16CTZ!$EI$25</f>
        <v>2.0311646654703697E-2</v>
      </c>
      <c r="AW18" s="164">
        <f>'Cooling Load'!$E$19+DI_EEM_Savings_16CTZ!$EG$26</f>
        <v>5.0888225774173651E-2</v>
      </c>
      <c r="AX18" s="164">
        <f>'Cooling Load'!$G$19+DI_EEM_Savings_16CTZ!$EI$26</f>
        <v>1.9202700035328344E-2</v>
      </c>
      <c r="AY18" s="159">
        <f>'Cooling Load'!$E$19+DI_EEM_Savings_16CTZ!$EG$27</f>
        <v>5.2332727438570349E-2</v>
      </c>
      <c r="AZ18" s="159">
        <f>'Cooling Load'!$G$19+DI_EEM_Savings_16CTZ!$EI$27</f>
        <v>2.0311646654703697E-2</v>
      </c>
      <c r="BA18" s="164">
        <f>'Cooling Load'!$F$19+DI_EEM_Savings_16CTZ!$EG$29</f>
        <v>2.7909873631173563E-2</v>
      </c>
      <c r="BB18" s="164">
        <f>'Cooling Load'!$H$19+DI_EEM_Savings_16CTZ!$EI$29</f>
        <v>1.9202700035328344E-2</v>
      </c>
      <c r="BC18" s="159">
        <f>'Cooling Load'!$F$19+DI_EEM_Savings_16CTZ!$EG$38</f>
        <v>3.8694150608630865E-2</v>
      </c>
      <c r="BD18" s="159">
        <f>'Cooling Load'!$H$19+DI_EEM_Savings_16CTZ!$EI$38</f>
        <v>1.760024285698869E-2</v>
      </c>
      <c r="BE18" s="164">
        <f>'Cooling Load'!$D$19+DI_EEM_Savings_16CTZ!$EG$37</f>
        <v>6.9114298657734705E-2</v>
      </c>
      <c r="BF18" s="164">
        <f>'Cooling Load'!$I$19+DI_EEM_Savings_16CTZ!$EI$37</f>
        <v>8.4931035754958143E-3</v>
      </c>
      <c r="BG18" s="159">
        <f>'Cooling Load'!$D$19+DI_EEM_Savings_16CTZ!$EG$27</f>
        <v>6.3332727438570352E-2</v>
      </c>
      <c r="BH18" s="159">
        <f>'Cooling Load'!$I$19+DI_EEM_Savings_16CTZ!$EI$27</f>
        <v>1.169497998803703E-2</v>
      </c>
      <c r="BI18" s="164">
        <f>'Cooling Load'!$F$19+DI_EEM_Savings_16CTZ!$EG$39</f>
        <v>2.7909873631173563E-2</v>
      </c>
      <c r="BJ18" s="164">
        <f>'Cooling Load'!$I$19+DI_EEM_Savings_16CTZ!$EI$39</f>
        <v>8.4931035754958143E-3</v>
      </c>
      <c r="BK18" s="159">
        <f>'Cooling Load'!$F$19+DI_EEM_Savings_16CTZ!$EG$38</f>
        <v>3.8694150608630865E-2</v>
      </c>
      <c r="BL18" s="159">
        <f>'Cooling Load'!$I$19+DI_EEM_Savings_16CTZ!$EI$38</f>
        <v>8.9835761903220221E-3</v>
      </c>
    </row>
    <row r="19" spans="2:64" s="240" customFormat="1" ht="15.6" x14ac:dyDescent="0.25">
      <c r="B19" s="231">
        <v>13</v>
      </c>
      <c r="C19" s="232" t="s">
        <v>58</v>
      </c>
      <c r="D19" s="233" t="str">
        <f t="shared" si="0"/>
        <v>/Fixture</v>
      </c>
      <c r="E19" s="234">
        <f>DI_EEM_Savings_16CTZ!$EV$21</f>
        <v>6.2763815455356836E-2</v>
      </c>
      <c r="F19" s="235">
        <f>DI_EEM_Savings_16CTZ!$EZ$21</f>
        <v>294.05874943609723</v>
      </c>
      <c r="G19" s="236">
        <f>DI_EEM_Savings_16CTZ!$EV$22</f>
        <v>6.4009486094372223E-2</v>
      </c>
      <c r="H19" s="237">
        <f>DI_EEM_Savings_16CTZ!$EZ$22</f>
        <v>298.21796448416615</v>
      </c>
      <c r="I19" s="234">
        <f>DI_EEM_Savings_16CTZ!$EV$24</f>
        <v>3.7735726597566376E-2</v>
      </c>
      <c r="J19" s="235">
        <f>DI_EEM_Savings_16CTZ!$EZ$24</f>
        <v>192.12007783806033</v>
      </c>
      <c r="K19" s="238">
        <f>DI_EEM_Savings_16CTZ!$EV$25</f>
        <v>5.256117176056678E-2</v>
      </c>
      <c r="L19" s="237">
        <f>DI_EEM_Savings_16CTZ!$EZ$25</f>
        <v>236.07258134664141</v>
      </c>
      <c r="M19" s="234">
        <f>DI_EEM_Savings_16CTZ!$EV$26</f>
        <v>3.1704157162225063E-2</v>
      </c>
      <c r="N19" s="235">
        <f>DI_EEM_Savings_16CTZ!$EZ$26</f>
        <v>149.73409077098515</v>
      </c>
      <c r="O19" s="238">
        <f>DI_EEM_Savings_16CTZ!$EV$27</f>
        <v>3.2045344313163387E-2</v>
      </c>
      <c r="P19" s="237">
        <f>DI_EEM_Savings_16CTZ!$EZ$27</f>
        <v>151.06307257180561</v>
      </c>
      <c r="Q19" s="234">
        <f>DI_EEM_Savings_16CTZ!$EV$29</f>
        <v>8.7261602118685506E-3</v>
      </c>
      <c r="R19" s="235">
        <f>DI_EEM_Savings_16CTZ!$EZ$29</f>
        <v>41.508387652013027</v>
      </c>
      <c r="S19" s="236">
        <f>DI_EEM_Savings_16CTZ!$EV$30</f>
        <v>9.0738518130373327E-3</v>
      </c>
      <c r="T19" s="239">
        <f>DI_EEM_Savings_16CTZ!$EZ$30</f>
        <v>42.86108922757483</v>
      </c>
      <c r="U19" s="234">
        <f>DI_EEM_Savings_16CTZ!$EV$32</f>
        <v>3.0495600010117779E-2</v>
      </c>
      <c r="V19" s="235">
        <f>DI_EEM_Savings_16CTZ!$EZ$32</f>
        <v>58.404116643512438</v>
      </c>
      <c r="W19" s="236">
        <f>DI_EEM_Savings_16CTZ!$EV$33</f>
        <v>2.9341397487037325E-2</v>
      </c>
      <c r="X19" s="237">
        <f>DI_EEM_Savings_16CTZ!$EZ$33</f>
        <v>51.58956421790424</v>
      </c>
      <c r="Y19" s="238">
        <f>DI_EEM_Savings_16CTZ!$EV$37</f>
        <v>6.0792730379487431E-2</v>
      </c>
      <c r="Z19" s="235">
        <f>DI_EEM_Savings_16CTZ!$EZ$37</f>
        <v>272.05670250212756</v>
      </c>
      <c r="AA19" s="236">
        <f>DI_EEM_Savings_16CTZ!$EV$38</f>
        <v>6.3933963239730676E-2</v>
      </c>
      <c r="AB19" s="235">
        <f>DI_EEM_Savings_16CTZ!$EZ$38</f>
        <v>280.19210134725859</v>
      </c>
      <c r="AC19" s="234">
        <f>DI_EEM_Savings_16CTZ!$EV$39</f>
        <v>1.9470096942244153E-2</v>
      </c>
      <c r="AD19" s="235">
        <f>DI_EEM_Savings_16CTZ!$EZ$39</f>
        <v>89.198879099331521</v>
      </c>
      <c r="AE19" s="238">
        <f>DI_EEM_Savings_16CTZ!$EV$40</f>
        <v>2.0446643292201225E-2</v>
      </c>
      <c r="AF19" s="237">
        <f>DI_EEM_Savings_16CTZ!$EZ$40</f>
        <v>92.167664634290759</v>
      </c>
      <c r="AG19" s="236">
        <f>DI_EEM_Savings_16CTZ!$EV$42</f>
        <v>2.2507752185732435E-2</v>
      </c>
      <c r="AH19" s="235">
        <f>DI_EEM_Savings_16CTZ!$EZ$42</f>
        <v>98.196609318319844</v>
      </c>
      <c r="AI19" s="236">
        <f>DI_EEM_Savings_16CTZ!$EV$43</f>
        <v>2.4382277573536122E-2</v>
      </c>
      <c r="AJ19" s="235">
        <f>DI_EEM_Savings_16CTZ!$EZ$43</f>
        <v>103.21170852895622</v>
      </c>
      <c r="AK19" s="238">
        <f>DI_EEM_Savings_16CTZ!$EV$45</f>
        <v>-2.0504399989882217E-2</v>
      </c>
      <c r="AL19" s="235">
        <f>DI_EEM_Savings_16CTZ!$EZ$45</f>
        <v>-214.51937836054813</v>
      </c>
      <c r="AM19" s="236">
        <f>DI_EEM_Savings_16CTZ!$EV$46</f>
        <v>-2.1658602512962671E-2</v>
      </c>
      <c r="AN19" s="237">
        <f>DI_EEM_Savings_16CTZ!$EZ$46</f>
        <v>-228.77381513218108</v>
      </c>
      <c r="AO19" s="230">
        <f>'Cooling Load'!$C$19+DI_EEM_Savings_16CTZ!$ER$21</f>
        <v>8.2028088857790449E-2</v>
      </c>
      <c r="AP19" s="230">
        <f>'Cooling Load'!$G$19+DI_EEM_Savings_16CTZ!$ET$21</f>
        <v>1.9264273402433627E-2</v>
      </c>
      <c r="AQ19" s="230">
        <f>'Cooling Load'!$C$19+DI_EEM_Savings_16CTZ!$ER$22</f>
        <v>8.4401319172099351E-2</v>
      </c>
      <c r="AR19" s="230">
        <f>'Cooling Load'!$G$19+DI_EEM_Savings_16CTZ!$ET$22</f>
        <v>2.0391833077727132E-2</v>
      </c>
      <c r="AS19" s="230">
        <f>'Cooling Load'!$D$19+DI_EEM_Savings_16CTZ!$ER$24</f>
        <v>5.7000000000000002E-2</v>
      </c>
      <c r="AT19" s="230">
        <f>'Cooling Load'!$H$19+DI_EEM_Savings_16CTZ!$ET$24</f>
        <v>1.9264273402433627E-2</v>
      </c>
      <c r="AU19" s="230">
        <f>'Cooling Load'!$D$19+DI_EEM_Savings_16CTZ!$ER$25</f>
        <v>7.2953004838293908E-2</v>
      </c>
      <c r="AV19" s="230">
        <f>'Cooling Load'!$H$19+DI_EEM_Savings_16CTZ!$ET$25</f>
        <v>2.0391833077727135E-2</v>
      </c>
      <c r="AW19" s="230">
        <f>'Cooling Load'!$E$19+DI_EEM_Savings_16CTZ!$ER$26</f>
        <v>5.096843056465869E-2</v>
      </c>
      <c r="AX19" s="230">
        <f>'Cooling Load'!$G$19+DI_EEM_Savings_16CTZ!$ET$26</f>
        <v>1.9264273402433627E-2</v>
      </c>
      <c r="AY19" s="230">
        <f>'Cooling Load'!$E$19+DI_EEM_Savings_16CTZ!$ER$27</f>
        <v>5.2437177390890523E-2</v>
      </c>
      <c r="AZ19" s="230">
        <f>'Cooling Load'!$G$19+DI_EEM_Savings_16CTZ!$ET$27</f>
        <v>2.0391833077727135E-2</v>
      </c>
      <c r="BA19" s="230">
        <f>'Cooling Load'!$F$19+DI_EEM_Savings_16CTZ!$ER$29</f>
        <v>2.7990433614302177E-2</v>
      </c>
      <c r="BB19" s="230">
        <f>'Cooling Load'!$H$19+DI_EEM_Savings_16CTZ!$ET$29</f>
        <v>1.9264273402433627E-2</v>
      </c>
      <c r="BC19" s="230">
        <f>'Cooling Load'!$F$19+DI_EEM_Savings_16CTZ!$ER$38</f>
        <v>3.8953004838293906E-2</v>
      </c>
      <c r="BD19" s="230">
        <f>'Cooling Load'!$H$19+DI_EEM_Savings_16CTZ!$ET$38</f>
        <v>1.7635708265229907E-2</v>
      </c>
      <c r="BE19" s="230">
        <f>'Cooling Load'!$D$19+DI_EEM_Savings_16CTZ!$ER$37</f>
        <v>6.9313067051545441E-2</v>
      </c>
      <c r="BF19" s="230">
        <f>'Cooling Load'!$I$19+DI_EEM_Savings_16CTZ!$ET$37</f>
        <v>8.520336672058022E-3</v>
      </c>
      <c r="BG19" s="230">
        <f>'Cooling Load'!$D$19+DI_EEM_Savings_16CTZ!$ER$27</f>
        <v>6.3437177390890526E-2</v>
      </c>
      <c r="BH19" s="230">
        <f>'Cooling Load'!$I$19+DI_EEM_Savings_16CTZ!$ET$27</f>
        <v>1.1775166411060469E-2</v>
      </c>
      <c r="BI19" s="230">
        <f>'Cooling Load'!$F$19+DI_EEM_Savings_16CTZ!$ER$39</f>
        <v>2.7990433614302177E-2</v>
      </c>
      <c r="BJ19" s="230">
        <f>'Cooling Load'!$I$19+DI_EEM_Savings_16CTZ!$ET$39</f>
        <v>8.520336672058022E-3</v>
      </c>
      <c r="BK19" s="230">
        <f>'Cooling Load'!$F$19+DI_EEM_Savings_16CTZ!$ER$38</f>
        <v>3.8953004838293906E-2</v>
      </c>
      <c r="BL19" s="230">
        <f>'Cooling Load'!$I$19+DI_EEM_Savings_16CTZ!$ET$38</f>
        <v>9.0190415985632426E-3</v>
      </c>
    </row>
    <row r="20" spans="2:64" s="240" customFormat="1" x14ac:dyDescent="0.25">
      <c r="B20" s="231">
        <v>14</v>
      </c>
      <c r="C20" s="232" t="s">
        <v>224</v>
      </c>
      <c r="D20" s="233" t="str">
        <f t="shared" si="0"/>
        <v>/Fixture</v>
      </c>
      <c r="E20" s="234">
        <f>DI_EEM_Savings_16CTZ!$FG$21</f>
        <v>6.2904956748743676E-2</v>
      </c>
      <c r="F20" s="235">
        <f>DI_EEM_Savings_16CTZ!$FK$21</f>
        <v>295.29904824068024</v>
      </c>
      <c r="G20" s="236">
        <f>DI_EEM_Savings_16CTZ!$FG$22</f>
        <v>6.4192101978984617E-2</v>
      </c>
      <c r="H20" s="237">
        <f>DI_EEM_Savings_16CTZ!$FK$22</f>
        <v>299.73928106321682</v>
      </c>
      <c r="I20" s="234">
        <f>DI_EEM_Savings_16CTZ!$FG$24</f>
        <v>5.0333459824119235E-2</v>
      </c>
      <c r="J20" s="235">
        <f>DI_EEM_Savings_16CTZ!$FK$24</f>
        <v>230.60191511792215</v>
      </c>
      <c r="K20" s="238">
        <f>DI_EEM_Savings_16CTZ!$FG$25</f>
        <v>5.2929487539179657E-2</v>
      </c>
      <c r="L20" s="237">
        <f>DI_EEM_Savings_16CTZ!$FK$25</f>
        <v>238.53749778641512</v>
      </c>
      <c r="M20" s="234">
        <f>DI_EEM_Savings_16CTZ!$FG$26</f>
        <v>3.1742815531670514E-2</v>
      </c>
      <c r="N20" s="235">
        <f>DI_EEM_Savings_16CTZ!$FK$26</f>
        <v>150.38021857484858</v>
      </c>
      <c r="O20" s="238">
        <f>DI_EEM_Savings_16CTZ!$FG$27</f>
        <v>3.209536250532069E-2</v>
      </c>
      <c r="P20" s="237">
        <f>DI_EEM_Savings_16CTZ!$FK$27</f>
        <v>151.85579479638466</v>
      </c>
      <c r="Q20" s="234">
        <f>DI_EEM_Savings_16CTZ!$FG$29</f>
        <v>8.7655555710844449E-3</v>
      </c>
      <c r="R20" s="235">
        <f>DI_EEM_Savings_16CTZ!$FK$29</f>
        <v>42.159116787431039</v>
      </c>
      <c r="S20" s="236">
        <f>DI_EEM_Savings_16CTZ!$FG$30</f>
        <v>9.1248235605691872E-3</v>
      </c>
      <c r="T20" s="239">
        <f>DI_EEM_Savings_16CTZ!$FK$30</f>
        <v>43.6594533450589</v>
      </c>
      <c r="U20" s="234">
        <f>DI_EEM_Savings_16CTZ!$FG$32</f>
        <v>3.0007444377894876E-2</v>
      </c>
      <c r="V20" s="235">
        <f>DI_EEM_Savings_16CTZ!$FK$32</f>
        <v>55.935075729958612</v>
      </c>
      <c r="W20" s="236">
        <f>DI_EEM_Savings_16CTZ!$FG$33</f>
        <v>2.8715381452479413E-2</v>
      </c>
      <c r="X20" s="237">
        <f>DI_EEM_Savings_16CTZ!$FK$33</f>
        <v>48.604091086955293</v>
      </c>
      <c r="Y20" s="238">
        <f>DI_EEM_Savings_16CTZ!$FG$37</f>
        <v>6.1148649235433519E-2</v>
      </c>
      <c r="Z20" s="235">
        <f>DI_EEM_Savings_16CTZ!$FK$37</f>
        <v>274.13034403086749</v>
      </c>
      <c r="AA20" s="236">
        <f>DI_EEM_Savings_16CTZ!$FG$38</f>
        <v>6.439446941173152E-2</v>
      </c>
      <c r="AB20" s="235">
        <f>DI_EEM_Savings_16CTZ!$FK$38</f>
        <v>282.73529185776198</v>
      </c>
      <c r="AC20" s="234">
        <f>DI_EEM_Savings_16CTZ!$FG$39</f>
        <v>1.9580744982398722E-2</v>
      </c>
      <c r="AD20" s="235">
        <f>DI_EEM_Savings_16CTZ!$FK$39</f>
        <v>90.007272994818223</v>
      </c>
      <c r="AE20" s="238">
        <f>DI_EEM_Savings_16CTZ!$FG$40</f>
        <v>2.0589805433121056E-2</v>
      </c>
      <c r="AF20" s="237">
        <f>DI_EEM_Savings_16CTZ!$FK$40</f>
        <v>93.159157035964412</v>
      </c>
      <c r="AG20" s="236">
        <f>DI_EEM_Savings_16CTZ!$FG$42</f>
        <v>2.3300559433596515E-2</v>
      </c>
      <c r="AH20" s="235">
        <f>DI_EEM_Savings_16CTZ!$FK$42</f>
        <v>101.59066654142583</v>
      </c>
      <c r="AI20" s="236">
        <f>DI_EEM_Savings_16CTZ!$FG$43</f>
        <v>2.539898211756976E-2</v>
      </c>
      <c r="AJ20" s="235">
        <f>DI_EEM_Savings_16CTZ!$FK$43</f>
        <v>107.34228452977008</v>
      </c>
      <c r="AK20" s="238">
        <f>DI_EEM_Savings_16CTZ!$FG$45</f>
        <v>-2.099255562210512E-2</v>
      </c>
      <c r="AL20" s="235">
        <f>DI_EEM_Savings_16CTZ!$FK$45</f>
        <v>-220.67582896184743</v>
      </c>
      <c r="AM20" s="236">
        <f>DI_EEM_Savings_16CTZ!$FG$46</f>
        <v>-2.228461854752058E-2</v>
      </c>
      <c r="AN20" s="237">
        <f>DI_EEM_Savings_16CTZ!$FK$46</f>
        <v>-236.23470175533595</v>
      </c>
      <c r="AO20" s="230">
        <f>'Cooling Load'!$C$19+DI_EEM_Savings_16CTZ!$FC$21</f>
        <v>8.229698882667083E-2</v>
      </c>
      <c r="AP20" s="230">
        <f>'Cooling Load'!$G$19+DI_EEM_Savings_16CTZ!$FE$21</f>
        <v>1.9392032077927147E-2</v>
      </c>
      <c r="AQ20" s="230">
        <f>'Cooling Load'!$C$19+DI_EEM_Savings_16CTZ!$FC$22</f>
        <v>8.4749235820097926E-2</v>
      </c>
      <c r="AR20" s="230">
        <f>'Cooling Load'!$G$19+DI_EEM_Savings_16CTZ!$FE$22</f>
        <v>2.0557133841113309E-2</v>
      </c>
      <c r="AS20" s="230">
        <f>'Cooling Load'!$D$19+DI_EEM_Savings_16CTZ!$FC$24</f>
        <v>6.9725491902046383E-2</v>
      </c>
      <c r="AT20" s="230">
        <f>'Cooling Load'!$H$19+DI_EEM_Savings_16CTZ!$FE$24</f>
        <v>1.9392032077927147E-2</v>
      </c>
      <c r="AU20" s="230">
        <f>'Cooling Load'!$D$19+DI_EEM_Savings_16CTZ!$FC$25</f>
        <v>7.3486621380292966E-2</v>
      </c>
      <c r="AV20" s="230">
        <f>'Cooling Load'!$H$19+DI_EEM_Savings_16CTZ!$FE$25</f>
        <v>2.0557133841113309E-2</v>
      </c>
      <c r="AW20" s="230">
        <f>'Cooling Load'!$E$19+DI_EEM_Savings_16CTZ!$FC$26</f>
        <v>5.1134847609597661E-2</v>
      </c>
      <c r="AX20" s="230">
        <f>'Cooling Load'!$G$19+DI_EEM_Savings_16CTZ!$FE$26</f>
        <v>1.9392032077927147E-2</v>
      </c>
      <c r="AY20" s="230">
        <f>'Cooling Load'!$E$19+DI_EEM_Savings_16CTZ!$FC$27</f>
        <v>5.2652496346434E-2</v>
      </c>
      <c r="AZ20" s="230">
        <f>'Cooling Load'!$G$19+DI_EEM_Savings_16CTZ!$FE$27</f>
        <v>2.0557133841113309E-2</v>
      </c>
      <c r="BA20" s="230">
        <f>'Cooling Load'!$F$19+DI_EEM_Savings_16CTZ!$FC$29</f>
        <v>2.8157587649011592E-2</v>
      </c>
      <c r="BB20" s="230">
        <f>'Cooling Load'!$H$19+DI_EEM_Savings_16CTZ!$FE$29</f>
        <v>1.9392032077927147E-2</v>
      </c>
      <c r="BC20" s="230">
        <f>'Cooling Load'!$F$19+DI_EEM_Savings_16CTZ!$FC$38</f>
        <v>3.9486621380292963E-2</v>
      </c>
      <c r="BD20" s="230">
        <f>'Cooling Load'!$H$19+DI_EEM_Savings_16CTZ!$FE$38</f>
        <v>1.7708818635228107E-2</v>
      </c>
      <c r="BE20" s="230">
        <f>'Cooling Load'!$D$19+DI_EEM_Savings_16CTZ!$FC$37</f>
        <v>6.9725491902046383E-2</v>
      </c>
      <c r="BF20" s="230">
        <f>'Cooling Load'!$I$19+DI_EEM_Savings_16CTZ!$FE$37</f>
        <v>8.5768426666128703E-3</v>
      </c>
      <c r="BG20" s="230">
        <f>'Cooling Load'!$D$19+DI_EEM_Savings_16CTZ!$FC$27</f>
        <v>6.3652496346434009E-2</v>
      </c>
      <c r="BH20" s="230">
        <f>'Cooling Load'!$I$19+DI_EEM_Savings_16CTZ!$FE$27</f>
        <v>1.1940467174446643E-2</v>
      </c>
      <c r="BI20" s="230">
        <f>'Cooling Load'!$F$19+DI_EEM_Savings_16CTZ!$FC$39</f>
        <v>2.8157587649011592E-2</v>
      </c>
      <c r="BJ20" s="230">
        <f>'Cooling Load'!$I$19+DI_EEM_Savings_16CTZ!$FE$39</f>
        <v>8.5768426666128703E-3</v>
      </c>
      <c r="BK20" s="230">
        <f>'Cooling Load'!$F$19+DI_EEM_Savings_16CTZ!$FC$38</f>
        <v>3.9486621380292963E-2</v>
      </c>
      <c r="BL20" s="230">
        <f>'Cooling Load'!$I$19+DI_EEM_Savings_16CTZ!$FE$38</f>
        <v>9.0921519685614408E-3</v>
      </c>
    </row>
    <row r="21" spans="2:64" s="240" customFormat="1" x14ac:dyDescent="0.25">
      <c r="B21" s="231">
        <v>15</v>
      </c>
      <c r="C21" s="232" t="s">
        <v>225</v>
      </c>
      <c r="D21" s="233" t="str">
        <f t="shared" si="0"/>
        <v>/Fixture</v>
      </c>
      <c r="E21" s="234">
        <f>DI_EEM_Savings_16CTZ!$FR$21</f>
        <v>6.373124466091025E-2</v>
      </c>
      <c r="F21" s="235">
        <f>DI_EEM_Savings_16CTZ!$FV$21</f>
        <v>297.98592394622182</v>
      </c>
      <c r="G21" s="236">
        <f>DI_EEM_Savings_16CTZ!$FR$22</f>
        <v>6.5243502048515173E-2</v>
      </c>
      <c r="H21" s="237">
        <f>DI_EEM_Savings_16CTZ!$FV$22</f>
        <v>302.95947340451835</v>
      </c>
      <c r="I21" s="234">
        <f>DI_EEM_Savings_16CTZ!$FR$24</f>
        <v>5.1999989964002749E-2</v>
      </c>
      <c r="J21" s="235">
        <f>DI_EEM_Savings_16CTZ!$FV$24</f>
        <v>236.27139367952304</v>
      </c>
      <c r="K21" s="238">
        <f>DI_EEM_Savings_16CTZ!$FR$25</f>
        <v>5.5050043678448297E-2</v>
      </c>
      <c r="L21" s="237">
        <f>DI_EEM_Savings_16CTZ!$FV$25</f>
        <v>245.35433293698946</v>
      </c>
      <c r="M21" s="234">
        <f>DI_EEM_Savings_16CTZ!$FR$26</f>
        <v>3.196913443955593E-2</v>
      </c>
      <c r="N21" s="235">
        <f>DI_EEM_Savings_16CTZ!$FV$26</f>
        <v>150.29229877146386</v>
      </c>
      <c r="O21" s="238">
        <f>DI_EEM_Savings_16CTZ!$FR$27</f>
        <v>3.2383339264974456E-2</v>
      </c>
      <c r="P21" s="237">
        <f>DI_EEM_Savings_16CTZ!$FV$27</f>
        <v>151.72552205313582</v>
      </c>
      <c r="Q21" s="234">
        <f>DI_EEM_Savings_16CTZ!$FR$29</f>
        <v>8.9961890613581581E-3</v>
      </c>
      <c r="R21" s="235">
        <f>DI_EEM_Savings_16CTZ!$FV$29</f>
        <v>42.095885461060824</v>
      </c>
      <c r="S21" s="236">
        <f>DI_EEM_Savings_16CTZ!$FR$30</f>
        <v>9.4182903584484386E-3</v>
      </c>
      <c r="T21" s="239">
        <f>DI_EEM_Savings_16CTZ!$FV$30</f>
        <v>43.559015892345982</v>
      </c>
      <c r="U21" s="234">
        <f>DI_EEM_Savings_16CTZ!$FR$32</f>
        <v>2.9769279617563815E-2</v>
      </c>
      <c r="V21" s="235">
        <f>DI_EEM_Savings_16CTZ!$FV$32</f>
        <v>47.336779083764327</v>
      </c>
      <c r="W21" s="236">
        <f>DI_EEM_Savings_16CTZ!$FR$33</f>
        <v>2.8413421346706994E-2</v>
      </c>
      <c r="X21" s="237">
        <f>DI_EEM_Savings_16CTZ!$FV$33</f>
        <v>38.114828077112108</v>
      </c>
      <c r="Y21" s="238">
        <f>DI_EEM_Savings_16CTZ!$FR$37</f>
        <v>6.3232316185929366E-2</v>
      </c>
      <c r="Z21" s="235">
        <f>DI_EEM_Savings_16CTZ!$FV$37</f>
        <v>280.72084530972842</v>
      </c>
      <c r="AA21" s="236">
        <f>DI_EEM_Savings_16CTZ!$FR$38</f>
        <v>6.7045806245263961E-2</v>
      </c>
      <c r="AB21" s="235">
        <f>DI_EEM_Savings_16CTZ!$FV$38</f>
        <v>290.66906303918279</v>
      </c>
      <c r="AC21" s="234">
        <f>DI_EEM_Savings_16CTZ!$FR$39</f>
        <v>2.0228515283284773E-2</v>
      </c>
      <c r="AD21" s="235">
        <f>DI_EEM_Savings_16CTZ!$FV$39</f>
        <v>92.216512429529374</v>
      </c>
      <c r="AE21" s="238">
        <f>DI_EEM_Savings_16CTZ!$FR$40</f>
        <v>2.1414052925264108E-2</v>
      </c>
      <c r="AF21" s="237">
        <f>DI_EEM_Savings_16CTZ!$FV$40</f>
        <v>95.814573944420502</v>
      </c>
      <c r="AG21" s="236">
        <f>DI_EEM_Savings_16CTZ!$FR$42</f>
        <v>2.3687359740122642E-2</v>
      </c>
      <c r="AH21" s="235">
        <f>DI_EEM_Savings_16CTZ!$FV$42</f>
        <v>102.4448817401834</v>
      </c>
      <c r="AI21" s="236">
        <f>DI_EEM_Savings_16CTZ!$FR$43</f>
        <v>2.5889391619416627E-2</v>
      </c>
      <c r="AJ21" s="235">
        <f>DI_EEM_Savings_16CTZ!$FV$43</f>
        <v>108.35589816798728</v>
      </c>
      <c r="AK21" s="238">
        <f>DI_EEM_Savings_16CTZ!$FR$45</f>
        <v>-2.1230720382436181E-2</v>
      </c>
      <c r="AL21" s="235">
        <f>DI_EEM_Savings_16CTZ!$FV$45</f>
        <v>-235.21898324783911</v>
      </c>
      <c r="AM21" s="236">
        <f>DI_EEM_Savings_16CTZ!$FR$46</f>
        <v>-2.2586578653292999E-2</v>
      </c>
      <c r="AN21" s="237">
        <f>DI_EEM_Savings_16CTZ!$FV$46</f>
        <v>-253.95833434255121</v>
      </c>
      <c r="AO21" s="230">
        <f>'Cooling Load'!$C$19+DI_EEM_Savings_16CTZ!$FN$21</f>
        <v>8.3871218370244818E-2</v>
      </c>
      <c r="AP21" s="230">
        <f>'Cooling Load'!$G$19+DI_EEM_Savings_16CTZ!$FP$21</f>
        <v>2.0139973709334569E-2</v>
      </c>
      <c r="AQ21" s="230">
        <f>'Cooling Load'!$C$19+DI_EEM_Savings_16CTZ!$FN$22</f>
        <v>8.6752345180890672E-2</v>
      </c>
      <c r="AR21" s="230">
        <f>'Cooling Load'!$G$19+DI_EEM_Savings_16CTZ!$FP$22</f>
        <v>2.1508843132375489E-2</v>
      </c>
      <c r="AS21" s="230">
        <f>'Cooling Load'!$D$19+DI_EEM_Savings_16CTZ!$FN$24</f>
        <v>7.2139963673337318E-2</v>
      </c>
      <c r="AT21" s="230">
        <f>'Cooling Load'!$H$19+DI_EEM_Savings_16CTZ!$FP$24</f>
        <v>2.0139973709334569E-2</v>
      </c>
      <c r="AU21" s="230">
        <f>'Cooling Load'!$D$19+DI_EEM_Savings_16CTZ!$FN$25</f>
        <v>7.655888681082379E-2</v>
      </c>
      <c r="AV21" s="230">
        <f>'Cooling Load'!$H$19+DI_EEM_Savings_16CTZ!$FP$25</f>
        <v>2.1508843132375485E-2</v>
      </c>
      <c r="AW21" s="230">
        <f>'Cooling Load'!$E$19+DI_EEM_Savings_16CTZ!$FN$26</f>
        <v>5.2109108148890498E-2</v>
      </c>
      <c r="AX21" s="230">
        <f>'Cooling Load'!$G$19+DI_EEM_Savings_16CTZ!$FP$26</f>
        <v>2.0139973709334569E-2</v>
      </c>
      <c r="AY21" s="230">
        <f>'Cooling Load'!$E$19+DI_EEM_Savings_16CTZ!$FN$27</f>
        <v>5.3892182397349941E-2</v>
      </c>
      <c r="AZ21" s="230">
        <f>'Cooling Load'!$G$19+DI_EEM_Savings_16CTZ!$FP$27</f>
        <v>2.1508843132375485E-2</v>
      </c>
      <c r="BA21" s="230">
        <f>'Cooling Load'!$F$19+DI_EEM_Savings_16CTZ!$FN$29</f>
        <v>2.9136162770692725E-2</v>
      </c>
      <c r="BB21" s="230">
        <f>'Cooling Load'!$H$19+DI_EEM_Savings_16CTZ!$FP$29</f>
        <v>2.0139973709334569E-2</v>
      </c>
      <c r="BC21" s="230">
        <f>'Cooling Load'!$F$19+DI_EEM_Savings_16CTZ!$FN$38</f>
        <v>4.255888681082378E-2</v>
      </c>
      <c r="BD21" s="230">
        <f>'Cooling Load'!$H$19+DI_EEM_Savings_16CTZ!$FP$38</f>
        <v>1.8129747232226483E-2</v>
      </c>
      <c r="BE21" s="230">
        <f>'Cooling Load'!$D$19+DI_EEM_Savings_16CTZ!$FN$37</f>
        <v>7.2139963673337318E-2</v>
      </c>
      <c r="BF21" s="230">
        <f>'Cooling Load'!$I$19+DI_EEM_Savings_16CTZ!$FP$37</f>
        <v>8.907647487407952E-3</v>
      </c>
      <c r="BG21" s="230">
        <f>'Cooling Load'!$D$19+DI_EEM_Savings_16CTZ!$FN$27</f>
        <v>6.4892182397349951E-2</v>
      </c>
      <c r="BH21" s="230">
        <f>'Cooling Load'!$I$19+DI_EEM_Savings_16CTZ!$FP$27</f>
        <v>1.289217646570882E-2</v>
      </c>
      <c r="BI21" s="230">
        <f>'Cooling Load'!$F$19+DI_EEM_Savings_16CTZ!$FN$39</f>
        <v>2.9136162770692725E-2</v>
      </c>
      <c r="BJ21" s="230">
        <f>'Cooling Load'!$I$19+DI_EEM_Savings_16CTZ!$FP$39</f>
        <v>8.907647487407952E-3</v>
      </c>
      <c r="BK21" s="230">
        <f>'Cooling Load'!$F$19+DI_EEM_Savings_16CTZ!$FN$38</f>
        <v>4.255888681082378E-2</v>
      </c>
      <c r="BL21" s="230">
        <f>'Cooling Load'!$I$19+DI_EEM_Savings_16CTZ!$FP$38</f>
        <v>9.5130805655598161E-3</v>
      </c>
    </row>
    <row r="22" spans="2:64" s="240" customFormat="1" ht="13.8" thickBot="1" x14ac:dyDescent="0.3">
      <c r="B22" s="241">
        <v>16</v>
      </c>
      <c r="C22" s="242" t="s">
        <v>226</v>
      </c>
      <c r="D22" s="243" t="str">
        <f t="shared" si="0"/>
        <v>/Fixture</v>
      </c>
      <c r="E22" s="244">
        <f>DI_EEM_Savings_16CTZ!$GC$21</f>
        <v>6.1842466801152282E-2</v>
      </c>
      <c r="F22" s="245">
        <f>DI_EEM_Savings_16CTZ!$GG$21</f>
        <v>292.60212445997024</v>
      </c>
      <c r="G22" s="246">
        <f>DI_EEM_Savings_16CTZ!$GC$22</f>
        <v>6.2763030959684135E-2</v>
      </c>
      <c r="H22" s="247">
        <f>DI_EEM_Savings_16CTZ!$GG$22</f>
        <v>296.17463474980377</v>
      </c>
      <c r="I22" s="244">
        <f>DI_EEM_Savings_16CTZ!$GC$24</f>
        <v>4.81905366433341E-2</v>
      </c>
      <c r="J22" s="245">
        <f>DI_EEM_Savings_16CTZ!$GG$24</f>
        <v>224.96702647627961</v>
      </c>
      <c r="K22" s="248">
        <f>DI_EEM_Savings_16CTZ!$GC$25</f>
        <v>5.0047211409236445E-2</v>
      </c>
      <c r="L22" s="247">
        <f>DI_EEM_Savings_16CTZ!$GG$25</f>
        <v>231.17884324018434</v>
      </c>
      <c r="M22" s="244">
        <f>DI_EEM_Savings_16CTZ!$GC$26</f>
        <v>3.1451801272551545E-2</v>
      </c>
      <c r="N22" s="245">
        <f>DI_EEM_Savings_16CTZ!$GG$26</f>
        <v>150.40538673699817</v>
      </c>
      <c r="O22" s="248">
        <f>DI_EEM_Savings_16CTZ!$GC$27</f>
        <v>3.1703942290143221E-2</v>
      </c>
      <c r="P22" s="247">
        <f>DI_EEM_Savings_16CTZ!$GG$27</f>
        <v>151.78817067210665</v>
      </c>
      <c r="Q22" s="244">
        <f>DI_EEM_Savings_16CTZ!$GC$29</f>
        <v>8.4689933663304011E-3</v>
      </c>
      <c r="R22" s="245">
        <f>DI_EEM_Savings_16CTZ!$GG$29</f>
        <v>42.160128343368577</v>
      </c>
      <c r="S22" s="246">
        <f>DI_EEM_Savings_16CTZ!$GC$30</f>
        <v>8.7259412434285734E-3</v>
      </c>
      <c r="T22" s="249">
        <f>DI_EEM_Savings_16CTZ!$GG$30</f>
        <v>43.560898674350788</v>
      </c>
      <c r="U22" s="244">
        <f>DI_EEM_Savings_16CTZ!$GC$32</f>
        <v>3.1163283163513605E-2</v>
      </c>
      <c r="V22" s="245">
        <f>DI_EEM_Savings_16CTZ!$GG$32</f>
        <v>69.738883743610245</v>
      </c>
      <c r="W22" s="246">
        <f>DI_EEM_Savings_16CTZ!$GC$33</f>
        <v>3.0235271988977658E-2</v>
      </c>
      <c r="X22" s="247">
        <f>DI_EEM_Savings_16CTZ!$GG$33</f>
        <v>65.659257064765185</v>
      </c>
      <c r="Y22" s="248">
        <f>DI_EEM_Savings_16CTZ!$GC$37</f>
        <v>5.8469346831958514E-2</v>
      </c>
      <c r="Z22" s="245">
        <f>DI_EEM_Savings_16CTZ!$GG$37</f>
        <v>267.60417277458407</v>
      </c>
      <c r="AA22" s="246">
        <f>DI_EEM_Savings_16CTZ!$GC$38</f>
        <v>6.0790752100872973E-2</v>
      </c>
      <c r="AB22" s="245">
        <f>DI_EEM_Savings_16CTZ!$GG$38</f>
        <v>274.25166347118153</v>
      </c>
      <c r="AC22" s="244">
        <f>DI_EEM_Savings_16CTZ!$GC$39</f>
        <v>1.8747803554954815E-2</v>
      </c>
      <c r="AD22" s="245">
        <f>DI_EEM_Savings_16CTZ!$GG$39</f>
        <v>87.809192559130452</v>
      </c>
      <c r="AE22" s="248">
        <f>DI_EEM_Savings_16CTZ!$GC$40</f>
        <v>1.9469481935065095E-2</v>
      </c>
      <c r="AF22" s="247">
        <f>DI_EEM_Savings_16CTZ!$GG$40</f>
        <v>90.284916042576441</v>
      </c>
      <c r="AG22" s="246">
        <f>DI_EEM_Savings_16CTZ!$GC$42</f>
        <v>2.1423376612969933E-2</v>
      </c>
      <c r="AH22" s="245">
        <f>DI_EEM_Savings_16CTZ!$GG$42</f>
        <v>96.848662486239718</v>
      </c>
      <c r="AI22" s="246">
        <f>DI_EEM_Savings_16CTZ!$GC$43</f>
        <v>2.2930547557450606E-2</v>
      </c>
      <c r="AJ22" s="245">
        <f>DI_EEM_Savings_16CTZ!$GG$43</f>
        <v>101.38259810971284</v>
      </c>
      <c r="AK22" s="248">
        <f>DI_EEM_Savings_16CTZ!$GC$45</f>
        <v>-1.9836716836486391E-2</v>
      </c>
      <c r="AL22" s="245">
        <f>DI_EEM_Savings_16CTZ!$GG$45</f>
        <v>-195.2082204291244</v>
      </c>
      <c r="AM22" s="246">
        <f>DI_EEM_Savings_16CTZ!$GC$46</f>
        <v>-2.0764728011022335E-2</v>
      </c>
      <c r="AN22" s="247">
        <f>DI_EEM_Savings_16CTZ!$GG$46</f>
        <v>-204.70507403121891</v>
      </c>
      <c r="AO22" s="230">
        <f>'Cooling Load'!$C$19+DI_EEM_Savings_16CTZ!$FY$21</f>
        <v>8.0272751220600694E-2</v>
      </c>
      <c r="AP22" s="230">
        <f>'Cooling Load'!$G$19+DI_EEM_Savings_16CTZ!$GA$21</f>
        <v>1.8430284419448415E-2</v>
      </c>
      <c r="AQ22" s="230">
        <f>'Cooling Load'!$C$19+DI_EEM_Savings_16CTZ!$FY$22</f>
        <v>8.2026594250103974E-2</v>
      </c>
      <c r="AR22" s="230">
        <f>'Cooling Load'!$G$19+DI_EEM_Savings_16CTZ!$GA$22</f>
        <v>1.9263563290419842E-2</v>
      </c>
      <c r="AS22" s="230">
        <f>'Cooling Load'!$D$19+DI_EEM_Savings_16CTZ!$FY$24</f>
        <v>6.6620821062782512E-2</v>
      </c>
      <c r="AT22" s="230">
        <f>'Cooling Load'!$H$19+DI_EEM_Savings_16CTZ!$GA$24</f>
        <v>1.8430284419448415E-2</v>
      </c>
      <c r="AU22" s="230">
        <f>'Cooling Load'!$D$19+DI_EEM_Savings_16CTZ!$FY$25</f>
        <v>6.9310774699656297E-2</v>
      </c>
      <c r="AV22" s="230">
        <f>'Cooling Load'!$H$19+DI_EEM_Savings_16CTZ!$GA$25</f>
        <v>1.9263563290419842E-2</v>
      </c>
      <c r="AW22" s="230">
        <f>'Cooling Load'!$E$19+DI_EEM_Savings_16CTZ!$FY$26</f>
        <v>4.9882085691999964E-2</v>
      </c>
      <c r="AX22" s="230">
        <f>'Cooling Load'!$G$19+DI_EEM_Savings_16CTZ!$GA$26</f>
        <v>1.8430284419448415E-2</v>
      </c>
      <c r="AY22" s="230">
        <f>'Cooling Load'!$E$19+DI_EEM_Savings_16CTZ!$FY$27</f>
        <v>5.0967505580563066E-2</v>
      </c>
      <c r="AZ22" s="230">
        <f>'Cooling Load'!$G$19+DI_EEM_Savings_16CTZ!$GA$27</f>
        <v>1.9263563290419842E-2</v>
      </c>
      <c r="BA22" s="230">
        <f>'Cooling Load'!$F$19+DI_EEM_Savings_16CTZ!$FY$29</f>
        <v>2.6899277785778816E-2</v>
      </c>
      <c r="BB22" s="230">
        <f>'Cooling Load'!$H$19+DI_EEM_Savings_16CTZ!$GA$29</f>
        <v>1.8430284419448415E-2</v>
      </c>
      <c r="BC22" s="230">
        <f>'Cooling Load'!$F$19+DI_EEM_Savings_16CTZ!$FY$38</f>
        <v>3.5310774699656287E-2</v>
      </c>
      <c r="BD22" s="230">
        <f>'Cooling Load'!$H$19+DI_EEM_Savings_16CTZ!$GA$38</f>
        <v>1.7136689265449982E-2</v>
      </c>
      <c r="BE22" s="230">
        <f>'Cooling Load'!$D$19+DI_EEM_Savings_16CTZ!$FY$37</f>
        <v>6.6620821062782512E-2</v>
      </c>
      <c r="BF22" s="230">
        <f>'Cooling Load'!$I$19+DI_EEM_Savings_16CTZ!$GA$37</f>
        <v>8.1514742308240028E-3</v>
      </c>
      <c r="BG22" s="230">
        <f>'Cooling Load'!$D$19+DI_EEM_Savings_16CTZ!$FY$27</f>
        <v>6.1967505580563062E-2</v>
      </c>
      <c r="BH22" s="230">
        <f>'Cooling Load'!$I$19+DI_EEM_Savings_16CTZ!$GA$27</f>
        <v>1.0646896623753175E-2</v>
      </c>
      <c r="BI22" s="230">
        <f>'Cooling Load'!$F$19+DI_EEM_Savings_16CTZ!$FY$39</f>
        <v>2.6899277785778816E-2</v>
      </c>
      <c r="BJ22" s="230">
        <f>'Cooling Load'!$I$19+DI_EEM_Savings_16CTZ!$GA$39</f>
        <v>8.1514742308240028E-3</v>
      </c>
      <c r="BK22" s="230">
        <f>'Cooling Load'!$F$19+DI_EEM_Savings_16CTZ!$FY$38</f>
        <v>3.5310774699656287E-2</v>
      </c>
      <c r="BL22" s="230">
        <f>'Cooling Load'!$I$19+DI_EEM_Savings_16CTZ!$GA$38</f>
        <v>8.5200225987833167E-3</v>
      </c>
    </row>
    <row r="23" spans="2:64" x14ac:dyDescent="0.25">
      <c r="E23" s="64"/>
      <c r="F23" s="63"/>
      <c r="G23" s="64"/>
      <c r="H23" s="63"/>
      <c r="I23" s="63"/>
      <c r="J23" s="63"/>
    </row>
    <row r="26" spans="2:64" x14ac:dyDescent="0.25">
      <c r="E26" s="84">
        <f>MIN(E7:E22)</f>
        <v>6.1182787641412363E-2</v>
      </c>
      <c r="F26" s="17">
        <f>MIN(F7:F22)</f>
        <v>286.99162774878107</v>
      </c>
      <c r="G26" s="84">
        <f>MIN(G7:G22)</f>
        <v>6.1787961335577617E-2</v>
      </c>
      <c r="H26" s="17">
        <f>MIN(H7:H22)</f>
        <v>288.84458302997734</v>
      </c>
      <c r="I26" s="84"/>
      <c r="J26" s="17"/>
      <c r="K26" s="84"/>
      <c r="L26" s="17"/>
      <c r="M26" s="84"/>
      <c r="N26" s="17"/>
      <c r="O26" s="84"/>
      <c r="P26" s="17"/>
      <c r="Q26" s="84"/>
      <c r="R26" s="17"/>
      <c r="S26" s="84"/>
      <c r="T26" s="17"/>
      <c r="U26" s="84"/>
      <c r="V26" s="17"/>
      <c r="W26" s="84"/>
      <c r="X26" s="17"/>
      <c r="Y26" s="84"/>
      <c r="Z26" s="17"/>
      <c r="AA26" s="84"/>
      <c r="AB26" s="17"/>
      <c r="AC26" s="84">
        <f t="shared" ref="AC26:AN26" si="1">MIN(AC7:AC22)</f>
        <v>1.8230646567056336E-2</v>
      </c>
      <c r="AD26" s="17">
        <f t="shared" si="1"/>
        <v>84.124422883178553</v>
      </c>
      <c r="AE26" s="84">
        <f t="shared" si="1"/>
        <v>1.8705073870403741E-2</v>
      </c>
      <c r="AF26" s="17">
        <f t="shared" si="1"/>
        <v>85.442072419241427</v>
      </c>
      <c r="AG26" s="84">
        <f t="shared" si="1"/>
        <v>2.0128570495775273E-2</v>
      </c>
      <c r="AH26" s="17">
        <f t="shared" si="1"/>
        <v>89.60811806581782</v>
      </c>
      <c r="AI26" s="84">
        <f t="shared" si="1"/>
        <v>2.1039255405745031E-2</v>
      </c>
      <c r="AJ26" s="17">
        <f t="shared" si="1"/>
        <v>91.831295297191502</v>
      </c>
      <c r="AK26" s="84">
        <f t="shared" si="1"/>
        <v>-2.1230720382436181E-2</v>
      </c>
      <c r="AL26" s="17">
        <f t="shared" si="1"/>
        <v>-235.21898324783911</v>
      </c>
      <c r="AM26" s="84">
        <f t="shared" si="1"/>
        <v>-2.2586578653292999E-2</v>
      </c>
      <c r="AN26" s="17">
        <f t="shared" si="1"/>
        <v>-253.95833434255121</v>
      </c>
      <c r="AO26" s="17"/>
      <c r="AP26" s="17"/>
      <c r="AQ26" s="17"/>
      <c r="AR26" s="17"/>
    </row>
    <row r="27" spans="2:64" x14ac:dyDescent="0.25">
      <c r="E27" s="84">
        <f>MAX(E7:E22)</f>
        <v>6.373124466091025E-2</v>
      </c>
      <c r="F27" s="17">
        <f>MAX(F7:F22)</f>
        <v>297.98592394622182</v>
      </c>
      <c r="G27" s="84">
        <f>MAX(G7:G22)</f>
        <v>6.5243502048515173E-2</v>
      </c>
      <c r="H27" s="17">
        <f>MAX(H7:H22)</f>
        <v>302.95947340451835</v>
      </c>
      <c r="I27" s="84"/>
      <c r="J27" s="17"/>
      <c r="K27" s="84"/>
      <c r="L27" s="17"/>
      <c r="M27" s="84"/>
      <c r="N27" s="17"/>
      <c r="O27" s="84"/>
      <c r="P27" s="17"/>
      <c r="Q27" s="84"/>
      <c r="R27" s="17"/>
      <c r="S27" s="84"/>
      <c r="T27" s="17"/>
      <c r="U27" s="84"/>
      <c r="V27" s="17"/>
      <c r="W27" s="84"/>
      <c r="X27" s="17"/>
      <c r="Y27" s="84"/>
      <c r="Z27" s="17"/>
      <c r="AA27" s="84"/>
      <c r="AB27" s="17"/>
      <c r="AC27" s="84">
        <f t="shared" ref="AC27:AN27" si="2">MAX(AC7:AC22)</f>
        <v>2.0228515283284773E-2</v>
      </c>
      <c r="AD27" s="17">
        <f t="shared" si="2"/>
        <v>92.216512429529374</v>
      </c>
      <c r="AE27" s="84">
        <f t="shared" si="2"/>
        <v>2.1414052925264108E-2</v>
      </c>
      <c r="AF27" s="17">
        <f t="shared" si="2"/>
        <v>95.814573944420502</v>
      </c>
      <c r="AG27" s="84">
        <f t="shared" si="2"/>
        <v>2.3687359740122642E-2</v>
      </c>
      <c r="AH27" s="17">
        <f t="shared" si="2"/>
        <v>102.4448817401834</v>
      </c>
      <c r="AI27" s="84">
        <f t="shared" si="2"/>
        <v>2.5889391619416627E-2</v>
      </c>
      <c r="AJ27" s="17">
        <f t="shared" si="2"/>
        <v>108.35589816798728</v>
      </c>
      <c r="AK27" s="84">
        <f t="shared" si="2"/>
        <v>-1.9039465171030365E-2</v>
      </c>
      <c r="AL27" s="17">
        <f t="shared" si="2"/>
        <v>-188.855470911412</v>
      </c>
      <c r="AM27" s="84">
        <f t="shared" si="2"/>
        <v>-1.9600201679405935E-2</v>
      </c>
      <c r="AN27" s="17">
        <f t="shared" si="2"/>
        <v>-194.96753985280287</v>
      </c>
      <c r="AO27" s="17"/>
      <c r="AP27" s="17"/>
      <c r="AQ27" s="17"/>
      <c r="AR27" s="17"/>
    </row>
    <row r="28" spans="2:64" x14ac:dyDescent="0.25">
      <c r="C28" t="s">
        <v>138</v>
      </c>
    </row>
    <row r="29" spans="2:64" ht="13.8" thickBot="1" x14ac:dyDescent="0.3">
      <c r="E29" s="84"/>
      <c r="F29" s="17"/>
    </row>
    <row r="30" spans="2:64" ht="26.25" customHeight="1" x14ac:dyDescent="0.25">
      <c r="B30" s="316" t="s">
        <v>48</v>
      </c>
      <c r="C30" s="319" t="s">
        <v>59</v>
      </c>
      <c r="D30" s="322" t="s">
        <v>13</v>
      </c>
      <c r="E30" s="312" t="str">
        <f>E4</f>
        <v xml:space="preserve">Grocery </v>
      </c>
      <c r="F30" s="307"/>
      <c r="G30" s="307" t="str">
        <f>G4</f>
        <v xml:space="preserve">Grocery </v>
      </c>
      <c r="H30" s="313"/>
      <c r="I30" s="312" t="str">
        <f>I4</f>
        <v>Grocery</v>
      </c>
      <c r="J30" s="307"/>
      <c r="K30" s="306" t="str">
        <f>K4</f>
        <v>Grocery</v>
      </c>
      <c r="L30" s="313"/>
      <c r="M30" s="312" t="str">
        <f>M4</f>
        <v>Grocery</v>
      </c>
      <c r="N30" s="307"/>
      <c r="O30" s="306" t="str">
        <f>O4</f>
        <v>Grocery</v>
      </c>
      <c r="P30" s="313"/>
      <c r="Q30" s="312" t="str">
        <f>Q4</f>
        <v>Grocery</v>
      </c>
      <c r="R30" s="307"/>
      <c r="S30" s="307" t="str">
        <f>S4</f>
        <v>Grocery</v>
      </c>
      <c r="T30" s="308"/>
      <c r="U30" s="312" t="str">
        <f>U4</f>
        <v>Grocery</v>
      </c>
      <c r="V30" s="307"/>
      <c r="W30" s="307" t="str">
        <f>W4</f>
        <v>Grocery</v>
      </c>
      <c r="X30" s="313"/>
      <c r="Y30" s="306" t="str">
        <f>Y4</f>
        <v>Grocery</v>
      </c>
      <c r="Z30" s="307"/>
      <c r="AA30" s="307" t="str">
        <f>AA4</f>
        <v>Grocery</v>
      </c>
      <c r="AB30" s="307"/>
      <c r="AC30" s="312" t="str">
        <f>AC4</f>
        <v>Grocery</v>
      </c>
      <c r="AD30" s="307"/>
      <c r="AE30" s="308" t="str">
        <f>AE4</f>
        <v>Grocery</v>
      </c>
      <c r="AF30" s="325"/>
      <c r="AG30" s="327" t="str">
        <f>AG4</f>
        <v>Grocery</v>
      </c>
      <c r="AH30" s="306"/>
      <c r="AI30" s="308" t="str">
        <f>AI4</f>
        <v>Grocery</v>
      </c>
      <c r="AJ30" s="306"/>
      <c r="AK30" s="308" t="str">
        <f>AK4</f>
        <v>Grocery</v>
      </c>
      <c r="AL30" s="306"/>
      <c r="AM30" s="308" t="str">
        <f>AM4</f>
        <v>Grocery</v>
      </c>
      <c r="AN30" s="326"/>
      <c r="AO30" s="302" t="s">
        <v>162</v>
      </c>
      <c r="AP30" s="303"/>
      <c r="AQ30" s="304" t="s">
        <v>162</v>
      </c>
      <c r="AR30" s="305"/>
      <c r="AS30" s="298" t="s">
        <v>163</v>
      </c>
      <c r="AT30" s="299"/>
      <c r="AU30" s="296" t="s">
        <v>163</v>
      </c>
      <c r="AV30" s="297"/>
      <c r="AW30" s="298" t="s">
        <v>164</v>
      </c>
      <c r="AX30" s="299"/>
      <c r="AY30" s="296" t="s">
        <v>164</v>
      </c>
      <c r="AZ30" s="297"/>
      <c r="BA30" s="298" t="s">
        <v>165</v>
      </c>
      <c r="BB30" s="299"/>
      <c r="BC30" s="296" t="s">
        <v>165</v>
      </c>
      <c r="BD30" s="297"/>
      <c r="BE30" s="298" t="s">
        <v>166</v>
      </c>
      <c r="BF30" s="299"/>
      <c r="BG30" s="296" t="s">
        <v>166</v>
      </c>
      <c r="BH30" s="297"/>
      <c r="BI30" s="298" t="s">
        <v>213</v>
      </c>
      <c r="BJ30" s="299"/>
      <c r="BK30" s="296" t="s">
        <v>166</v>
      </c>
      <c r="BL30" s="297"/>
    </row>
    <row r="31" spans="2:64" ht="30" customHeight="1" x14ac:dyDescent="0.25">
      <c r="B31" s="317"/>
      <c r="C31" s="320"/>
      <c r="D31" s="323"/>
      <c r="E31" s="314" t="str">
        <f>E5</f>
        <v>MT, (2)T12 to LED Canopy</v>
      </c>
      <c r="F31" s="310"/>
      <c r="G31" s="310" t="str">
        <f>G5</f>
        <v>LT, (2)T12 to LED Canopy</v>
      </c>
      <c r="H31" s="315"/>
      <c r="I31" s="314" t="str">
        <f>I5</f>
        <v>MT, (1)T12 to LED Canopy</v>
      </c>
      <c r="J31" s="310"/>
      <c r="K31" s="309" t="str">
        <f>K5</f>
        <v>LT, (1)T12 to LED Canopy</v>
      </c>
      <c r="L31" s="315"/>
      <c r="M31" s="314" t="str">
        <f>M5</f>
        <v>MT, (2)T8 to LED Canopy</v>
      </c>
      <c r="N31" s="310"/>
      <c r="O31" s="309" t="str">
        <f>O5</f>
        <v>LT, (2)T8 to LED Canopy</v>
      </c>
      <c r="P31" s="315"/>
      <c r="Q31" s="314" t="str">
        <f>Q5</f>
        <v>MT, (1)T8 to LED Canopy</v>
      </c>
      <c r="R31" s="310"/>
      <c r="S31" s="310" t="str">
        <f>S5</f>
        <v>LT, (1)T8 to LED Canopy</v>
      </c>
      <c r="T31" s="311"/>
      <c r="U31" s="314" t="str">
        <f>U5</f>
        <v>MT, T12 to CC retrofit</v>
      </c>
      <c r="V31" s="310"/>
      <c r="W31" s="310" t="str">
        <f>W5</f>
        <v>LT, T12 to CC retrofit</v>
      </c>
      <c r="X31" s="315"/>
      <c r="Y31" s="309" t="str">
        <f>Y5</f>
        <v>MT, (1)T12 to LED Shelf</v>
      </c>
      <c r="Z31" s="310"/>
      <c r="AA31" s="310" t="str">
        <f>AA5</f>
        <v>LT, (1)T12 to LED Shelf</v>
      </c>
      <c r="AB31" s="310"/>
      <c r="AC31" s="314" t="str">
        <f>AC5</f>
        <v>MT, (1)T8 to LED Shelf</v>
      </c>
      <c r="AD31" s="310"/>
      <c r="AE31" s="309" t="str">
        <f>AE5</f>
        <v>LT, (1)T8 to LED Shelf</v>
      </c>
      <c r="AF31" s="315"/>
      <c r="AG31" s="310" t="str">
        <f>AG5</f>
        <v>MT, T8 to FO retrofit</v>
      </c>
      <c r="AH31" s="310"/>
      <c r="AI31" s="310" t="str">
        <f>AI5</f>
        <v>LT, T8 to FO retrofit</v>
      </c>
      <c r="AJ31" s="310"/>
      <c r="AK31" s="309" t="str">
        <f>AK5</f>
        <v>MT, T8 to CC retrofit</v>
      </c>
      <c r="AL31" s="310"/>
      <c r="AM31" s="310" t="str">
        <f>AM5</f>
        <v>LT, T8 to CC retrofit</v>
      </c>
      <c r="AN31" s="311"/>
      <c r="AO31" s="301" t="s">
        <v>62</v>
      </c>
      <c r="AP31" s="301"/>
      <c r="AQ31" s="300" t="s">
        <v>63</v>
      </c>
      <c r="AR31" s="300"/>
      <c r="AS31" s="301" t="s">
        <v>62</v>
      </c>
      <c r="AT31" s="301"/>
      <c r="AU31" s="300" t="s">
        <v>63</v>
      </c>
      <c r="AV31" s="300"/>
      <c r="AW31" s="301" t="s">
        <v>62</v>
      </c>
      <c r="AX31" s="301"/>
      <c r="AY31" s="300" t="s">
        <v>63</v>
      </c>
      <c r="AZ31" s="300"/>
      <c r="BA31" s="301" t="s">
        <v>62</v>
      </c>
      <c r="BB31" s="301"/>
      <c r="BC31" s="300" t="s">
        <v>63</v>
      </c>
      <c r="BD31" s="300"/>
      <c r="BE31" s="301" t="s">
        <v>62</v>
      </c>
      <c r="BF31" s="301"/>
      <c r="BG31" s="300" t="s">
        <v>63</v>
      </c>
      <c r="BH31" s="300"/>
      <c r="BI31" s="301" t="s">
        <v>62</v>
      </c>
      <c r="BJ31" s="301"/>
      <c r="BK31" s="300" t="s">
        <v>63</v>
      </c>
      <c r="BL31" s="300"/>
    </row>
    <row r="32" spans="2:64" ht="39.9" customHeight="1" x14ac:dyDescent="0.25">
      <c r="B32" s="318"/>
      <c r="C32" s="321"/>
      <c r="D32" s="324"/>
      <c r="E32" s="69" t="s">
        <v>60</v>
      </c>
      <c r="F32" s="65" t="s">
        <v>61</v>
      </c>
      <c r="G32" s="65" t="s">
        <v>60</v>
      </c>
      <c r="H32" s="99" t="s">
        <v>61</v>
      </c>
      <c r="I32" s="69" t="s">
        <v>60</v>
      </c>
      <c r="J32" s="65" t="s">
        <v>61</v>
      </c>
      <c r="K32" s="103" t="s">
        <v>60</v>
      </c>
      <c r="L32" s="99" t="s">
        <v>61</v>
      </c>
      <c r="M32" s="69" t="s">
        <v>60</v>
      </c>
      <c r="N32" s="65" t="s">
        <v>61</v>
      </c>
      <c r="O32" s="103" t="s">
        <v>60</v>
      </c>
      <c r="P32" s="99" t="s">
        <v>61</v>
      </c>
      <c r="Q32" s="69" t="s">
        <v>60</v>
      </c>
      <c r="R32" s="65" t="s">
        <v>61</v>
      </c>
      <c r="S32" s="65" t="s">
        <v>60</v>
      </c>
      <c r="T32" s="112" t="s">
        <v>61</v>
      </c>
      <c r="U32" s="69" t="s">
        <v>60</v>
      </c>
      <c r="V32" s="65" t="s">
        <v>61</v>
      </c>
      <c r="W32" s="65" t="s">
        <v>60</v>
      </c>
      <c r="X32" s="99" t="s">
        <v>61</v>
      </c>
      <c r="Y32" s="103" t="s">
        <v>60</v>
      </c>
      <c r="Z32" s="65" t="s">
        <v>61</v>
      </c>
      <c r="AA32" s="65" t="s">
        <v>60</v>
      </c>
      <c r="AB32" s="65" t="s">
        <v>61</v>
      </c>
      <c r="AC32" s="69" t="s">
        <v>60</v>
      </c>
      <c r="AD32" s="65" t="s">
        <v>61</v>
      </c>
      <c r="AE32" s="103" t="s">
        <v>60</v>
      </c>
      <c r="AF32" s="99" t="s">
        <v>61</v>
      </c>
      <c r="AG32" s="65" t="s">
        <v>60</v>
      </c>
      <c r="AH32" s="65" t="s">
        <v>61</v>
      </c>
      <c r="AI32" s="65" t="s">
        <v>60</v>
      </c>
      <c r="AJ32" s="65" t="s">
        <v>61</v>
      </c>
      <c r="AK32" s="103" t="s">
        <v>60</v>
      </c>
      <c r="AL32" s="65" t="s">
        <v>61</v>
      </c>
      <c r="AM32" s="65" t="s">
        <v>60</v>
      </c>
      <c r="AN32" s="112" t="s">
        <v>61</v>
      </c>
      <c r="AO32" s="163" t="s">
        <v>215</v>
      </c>
      <c r="AP32" s="163" t="s">
        <v>216</v>
      </c>
      <c r="AQ32" s="161" t="s">
        <v>215</v>
      </c>
      <c r="AR32" s="161" t="s">
        <v>216</v>
      </c>
      <c r="AS32" s="163" t="s">
        <v>217</v>
      </c>
      <c r="AT32" s="163" t="s">
        <v>216</v>
      </c>
      <c r="AU32" s="161" t="s">
        <v>217</v>
      </c>
      <c r="AV32" s="161" t="s">
        <v>216</v>
      </c>
      <c r="AW32" s="163" t="s">
        <v>218</v>
      </c>
      <c r="AX32" s="163" t="s">
        <v>219</v>
      </c>
      <c r="AY32" s="161" t="s">
        <v>218</v>
      </c>
      <c r="AZ32" s="161" t="s">
        <v>219</v>
      </c>
      <c r="BA32" s="163" t="s">
        <v>220</v>
      </c>
      <c r="BB32" s="163" t="s">
        <v>219</v>
      </c>
      <c r="BC32" s="161" t="s">
        <v>220</v>
      </c>
      <c r="BD32" s="161" t="s">
        <v>219</v>
      </c>
      <c r="BE32" s="163" t="s">
        <v>217</v>
      </c>
      <c r="BF32" s="163" t="s">
        <v>216</v>
      </c>
      <c r="BG32" s="161" t="s">
        <v>217</v>
      </c>
      <c r="BH32" s="161" t="s">
        <v>216</v>
      </c>
      <c r="BI32" s="163" t="s">
        <v>220</v>
      </c>
      <c r="BJ32" s="163" t="s">
        <v>216</v>
      </c>
      <c r="BK32" s="161" t="s">
        <v>161</v>
      </c>
      <c r="BL32" s="161" t="s">
        <v>160</v>
      </c>
    </row>
    <row r="33" spans="2:64" ht="15.6" x14ac:dyDescent="0.25">
      <c r="B33" s="70">
        <v>1</v>
      </c>
      <c r="C33" s="66" t="s">
        <v>49</v>
      </c>
      <c r="D33" s="105" t="str">
        <f>D7</f>
        <v>/Fixture</v>
      </c>
      <c r="E33" s="71">
        <f>Multiplex_EEM_Savings_16CTZ!$T$21</f>
        <v>6.0054525872472564E-2</v>
      </c>
      <c r="F33" s="68">
        <f>Multiplex_EEM_Savings_16CTZ!$X$21</f>
        <v>282.18289602875996</v>
      </c>
      <c r="G33" s="67">
        <f>Multiplex_EEM_Savings_16CTZ!$T$22</f>
        <v>6.1300936787425854E-2</v>
      </c>
      <c r="H33" s="100">
        <f>Multiplex_EEM_Savings_16CTZ!$X$22</f>
        <v>286.87809896168085</v>
      </c>
      <c r="I33" s="71">
        <f>Multiplex_EEM_Savings_16CTZ!$T$24</f>
        <v>4.4584460114678058E-2</v>
      </c>
      <c r="J33" s="68">
        <f>Multiplex_EEM_Savings_16CTZ!$X$24</f>
        <v>207.1839516938366</v>
      </c>
      <c r="K33" s="104">
        <f>Multiplex_EEM_Savings_16CTZ!$T$25</f>
        <v>4.7098331279757745E-2</v>
      </c>
      <c r="L33" s="100">
        <f>Multiplex_EEM_Savings_16CTZ!$X$25</f>
        <v>215.59221840586366</v>
      </c>
      <c r="M33" s="71">
        <f>Multiplex_EEM_Savings_16CTZ!$T$26</f>
        <v>3.0962087176067389E-2</v>
      </c>
      <c r="N33" s="68">
        <f>Multiplex_EEM_Savings_16CTZ!$X$26</f>
        <v>145.99521174285198</v>
      </c>
      <c r="O33" s="104">
        <f>Multiplex_EEM_Savings_16CTZ!$T$27</f>
        <v>3.1303477087374507E-2</v>
      </c>
      <c r="P33" s="100">
        <f>Multiplex_EEM_Savings_16CTZ!$X$27</f>
        <v>147.53629696336395</v>
      </c>
      <c r="Q33" s="71">
        <f>Multiplex_EEM_Savings_16CTZ!$T$29</f>
        <v>7.9699432765095307E-3</v>
      </c>
      <c r="R33" s="68">
        <f>Multiplex_EEM_Savings_16CTZ!$X$29</f>
        <v>37.701229350143336</v>
      </c>
      <c r="S33" s="67">
        <f>Multiplex_EEM_Savings_16CTZ!$T$30</f>
        <v>8.3178415035054729E-3</v>
      </c>
      <c r="T33" s="113">
        <f>Multiplex_EEM_Savings_16CTZ!$X$30</f>
        <v>39.268686924239319</v>
      </c>
      <c r="U33" s="71">
        <f>Multiplex_EEM_Savings_16CTZ!$T$32</f>
        <v>3.3005949675894861E-2</v>
      </c>
      <c r="V33" s="68">
        <f>Multiplex_EEM_Savings_16CTZ!$X$32</f>
        <v>78.353393433713819</v>
      </c>
      <c r="W33" s="67">
        <f>Multiplex_EEM_Savings_16CTZ!$T$33</f>
        <v>3.1851061234459639E-2</v>
      </c>
      <c r="X33" s="100">
        <f>Multiplex_EEM_Savings_16CTZ!$X$33</f>
        <v>71.020625789422169</v>
      </c>
      <c r="Y33" s="104">
        <f>Multiplex_EEM_Savings_16CTZ!$T$37</f>
        <v>5.3960660007821876E-2</v>
      </c>
      <c r="Z33" s="68">
        <f>Multiplex_EEM_Savings_16CTZ!$X$37</f>
        <v>248.74893122158736</v>
      </c>
      <c r="AA33" s="67">
        <f>Multiplex_EEM_Savings_16CTZ!$T$38</f>
        <v>5.7103759636879386E-2</v>
      </c>
      <c r="AB33" s="68">
        <f>Multiplex_EEM_Savings_16CTZ!$X$38</f>
        <v>257.87511216313442</v>
      </c>
      <c r="AC33" s="71">
        <f>Multiplex_EEM_Savings_16CTZ!$T$39</f>
        <v>1.7346143169653345E-2</v>
      </c>
      <c r="AD33" s="68">
        <f>Multiplex_EEM_Savings_16CTZ!$X$39</f>
        <v>80.704899927478209</v>
      </c>
      <c r="AE33" s="104">
        <f>Multiplex_EEM_Savings_16CTZ!$T$40</f>
        <v>1.8323269860627111E-2</v>
      </c>
      <c r="AF33" s="100">
        <f>Multiplex_EEM_Savings_16CTZ!$X$40</f>
        <v>84.043691763992655</v>
      </c>
      <c r="AG33" s="67">
        <f>Multiplex_EEM_Savings_16CTZ!$T$42</f>
        <v>1.8430725765616378E-2</v>
      </c>
      <c r="AH33" s="68">
        <f>Multiplex_EEM_Savings_16CTZ!$X$42</f>
        <v>83.838597894325247</v>
      </c>
      <c r="AI33" s="67">
        <f>Multiplex_EEM_Savings_16CTZ!$T$43</f>
        <v>2.0306365144547495E-2</v>
      </c>
      <c r="AJ33" s="68">
        <f>Multiplex_EEM_Savings_16CTZ!$X$43</f>
        <v>89.471906136070785</v>
      </c>
      <c r="AK33" s="104">
        <f>Multiplex_EEM_Savings_16CTZ!$T$45</f>
        <v>-1.7994050324105136E-2</v>
      </c>
      <c r="AL33" s="68">
        <f>Multiplex_EEM_Savings_16CTZ!$X$45</f>
        <v>-172.99362033590992</v>
      </c>
      <c r="AM33" s="67">
        <f>Multiplex_EEM_Savings_16CTZ!$T$46</f>
        <v>-1.9148938765540358E-2</v>
      </c>
      <c r="AN33" s="100">
        <f>Multiplex_EEM_Savings_16CTZ!$X$46</f>
        <v>-188.48099032862041</v>
      </c>
      <c r="AO33" s="164">
        <f>'Cooling Load'!$C$19+Multiplex_EEM_Savings_16CTZ!$P$21</f>
        <v>7.6866396860759439E-2</v>
      </c>
      <c r="AP33" s="164">
        <f>'Cooling Load'!$G$19+Multiplex_EEM_Savings_16CTZ!$R$21</f>
        <v>1.6811870988286879E-2</v>
      </c>
      <c r="AQ33" s="159">
        <f>'Cooling Load'!$C$19+Multiplex_EEM_Savings_16CTZ!$P$22</f>
        <v>7.9241037536075296E-2</v>
      </c>
      <c r="AR33" s="159">
        <f>'Cooling Load'!$G$19+Multiplex_EEM_Savings_16CTZ!$R$22</f>
        <v>1.7940100748649442E-2</v>
      </c>
      <c r="AS33" s="164">
        <f>'Cooling Load'!$D$19+Multiplex_EEM_Savings_16CTZ!$P$24</f>
        <v>6.1396331102964934E-2</v>
      </c>
      <c r="AT33" s="164">
        <f>'Cooling Load'!$H$19+Multiplex_EEM_Savings_16CTZ!$R$24</f>
        <v>1.6811870988286879E-2</v>
      </c>
      <c r="AU33" s="159">
        <f>'Cooling Load'!$D$19+Multiplex_EEM_Savings_16CTZ!$P$25</f>
        <v>6.5038432028407187E-2</v>
      </c>
      <c r="AV33" s="159">
        <f>'Cooling Load'!$H$19+Multiplex_EEM_Savings_16CTZ!$R$25</f>
        <v>1.7940100748649442E-2</v>
      </c>
      <c r="AW33" s="164">
        <f>'Cooling Load'!$E$19+Multiplex_EEM_Savings_16CTZ!$P$26</f>
        <v>4.7773958164354272E-2</v>
      </c>
      <c r="AX33" s="164">
        <f>'Cooling Load'!$G$19+Multiplex_EEM_Savings_16CTZ!$R$26</f>
        <v>1.6811870988286879E-2</v>
      </c>
      <c r="AY33" s="159">
        <f>'Cooling Load'!$E$19+Multiplex_EEM_Savings_16CTZ!$P$27</f>
        <v>4.9243577836023948E-2</v>
      </c>
      <c r="AZ33" s="159">
        <f>'Cooling Load'!$G$19+Multiplex_EEM_Savings_16CTZ!$R$27</f>
        <v>1.7940100748649442E-2</v>
      </c>
      <c r="BA33" s="164">
        <f>'Cooling Load'!$F$19+Multiplex_EEM_Savings_16CTZ!$P$29</f>
        <v>2.4781814264796413E-2</v>
      </c>
      <c r="BB33" s="164">
        <f>'Cooling Load'!$H$19+Multiplex_EEM_Savings_16CTZ!$R$29</f>
        <v>1.6811870988286879E-2</v>
      </c>
      <c r="BC33" s="159">
        <f>'Cooling Load'!$F$19+Multiplex_EEM_Savings_16CTZ!$P$38</f>
        <v>3.1038432028407184E-2</v>
      </c>
      <c r="BD33" s="159">
        <f>'Cooling Load'!$H$19+Multiplex_EEM_Savings_16CTZ!$R$38</f>
        <v>1.6551339058194465E-2</v>
      </c>
      <c r="BE33" s="164">
        <f>'Cooling Load'!$D$19+Multiplex_EEM_Savings_16CTZ!$P$37</f>
        <v>6.1396331102964934E-2</v>
      </c>
      <c r="BF33" s="164">
        <f>'Cooling Load'!$I$19+Multiplex_EEM_Savings_16CTZ!$R$37</f>
        <v>7.4356710951430649E-3</v>
      </c>
      <c r="BG33" s="159">
        <f>'Cooling Load'!$D$19+Multiplex_EEM_Savings_16CTZ!$P$27</f>
        <v>6.0243577836023951E-2</v>
      </c>
      <c r="BH33" s="159">
        <f>'Cooling Load'!$I$19+Multiplex_EEM_Savings_16CTZ!$R$27</f>
        <v>9.323434081982775E-3</v>
      </c>
      <c r="BI33" s="164">
        <f>'Cooling Load'!$F$19+Multiplex_EEM_Savings_16CTZ!$P$39</f>
        <v>2.4781814264796413E-2</v>
      </c>
      <c r="BJ33" s="164">
        <f>'Cooling Load'!$I$19+Multiplex_EEM_Savings_16CTZ!$R$39</f>
        <v>7.4356710951430649E-3</v>
      </c>
      <c r="BK33" s="159">
        <f>'Cooling Load'!$F$19+Multiplex_EEM_Savings_16CTZ!$P$38</f>
        <v>3.1038432028407184E-2</v>
      </c>
      <c r="BL33" s="159">
        <f>'Cooling Load'!$I$19+Multiplex_EEM_Savings_16CTZ!$R$38</f>
        <v>7.9346723915278E-3</v>
      </c>
    </row>
    <row r="34" spans="2:64" ht="15.6" x14ac:dyDescent="0.25">
      <c r="B34" s="70">
        <v>2</v>
      </c>
      <c r="C34" s="66" t="s">
        <v>50</v>
      </c>
      <c r="D34" s="105" t="str">
        <f t="shared" ref="D34:D48" si="3">$D$7</f>
        <v>/Fixture</v>
      </c>
      <c r="E34" s="71">
        <f>Multiplex_EEM_Savings_16CTZ!$AE$21</f>
        <v>6.0861359803390074E-2</v>
      </c>
      <c r="F34" s="68">
        <f>Multiplex_EEM_Savings_16CTZ!$AI$21</f>
        <v>285.69376363070415</v>
      </c>
      <c r="G34" s="67">
        <f>Multiplex_EEM_Savings_16CTZ!$AE$22</f>
        <v>6.2479787913569319E-2</v>
      </c>
      <c r="H34" s="100">
        <f>Multiplex_EEM_Savings_16CTZ!$AI$22</f>
        <v>291.75411425699855</v>
      </c>
      <c r="I34" s="71">
        <f>Multiplex_EEM_Savings_16CTZ!$AE$24</f>
        <v>4.621175375404532E-2</v>
      </c>
      <c r="J34" s="68">
        <f>Multiplex_EEM_Savings_16CTZ!$AI$24</f>
        <v>213.47128615190167</v>
      </c>
      <c r="K34" s="104">
        <f>Multiplex_EEM_Savings_16CTZ!$AE$25</f>
        <v>4.9475941920342381E-2</v>
      </c>
      <c r="L34" s="100">
        <f>Multiplex_EEM_Savings_16CTZ!$AI$25</f>
        <v>224.32428764348634</v>
      </c>
      <c r="M34" s="71">
        <f>Multiplex_EEM_Savings_16CTZ!$AE$26</f>
        <v>3.1183077670302452E-2</v>
      </c>
      <c r="N34" s="68">
        <f>Multiplex_EEM_Savings_16CTZ!$AI$26</f>
        <v>147.14756793486958</v>
      </c>
      <c r="O34" s="104">
        <f>Multiplex_EEM_Savings_16CTZ!$AE$27</f>
        <v>3.1626362483009457E-2</v>
      </c>
      <c r="P34" s="100">
        <f>Multiplex_EEM_Savings_16CTZ!$AI$27</f>
        <v>149.13672940770343</v>
      </c>
      <c r="Q34" s="71">
        <f>Multiplex_EEM_Savings_16CTZ!$AE$29</f>
        <v>8.1951467713432449E-3</v>
      </c>
      <c r="R34" s="68">
        <f>Multiplex_EEM_Savings_16CTZ!$AI$29</f>
        <v>38.873305635862494</v>
      </c>
      <c r="S34" s="67">
        <f>Multiplex_EEM_Savings_16CTZ!$AE$30</f>
        <v>8.6468824415759232E-3</v>
      </c>
      <c r="T34" s="113">
        <f>Multiplex_EEM_Savings_16CTZ!$AI$30</f>
        <v>40.896507322046666</v>
      </c>
      <c r="U34" s="71">
        <f>Multiplex_EEM_Savings_16CTZ!$AE$32</f>
        <v>3.2258360602503845E-2</v>
      </c>
      <c r="V34" s="68">
        <f>Multiplex_EEM_Savings_16CTZ!$AI$32</f>
        <v>72.870270185851851</v>
      </c>
      <c r="W34" s="67">
        <f>Multiplex_EEM_Savings_16CTZ!$AE$33</f>
        <v>3.0758771746761268E-2</v>
      </c>
      <c r="X34" s="100">
        <f>Multiplex_EEM_Savings_16CTZ!$AI$33</f>
        <v>63.405473110955612</v>
      </c>
      <c r="Y34" s="104">
        <f>Multiplex_EEM_Savings_16CTZ!$AE$37</f>
        <v>5.5995269460092978E-2</v>
      </c>
      <c r="Z34" s="68">
        <f>Multiplex_EEM_Savings_16CTZ!$AI$37</f>
        <v>255.57309057208118</v>
      </c>
      <c r="AA34" s="67">
        <f>Multiplex_EEM_Savings_16CTZ!$AE$38</f>
        <v>6.0076492379222565E-2</v>
      </c>
      <c r="AB34" s="68">
        <f>Multiplex_EEM_Savings_16CTZ!$AI$38</f>
        <v>267.35274252215635</v>
      </c>
      <c r="AC34" s="71">
        <f>Multiplex_EEM_Savings_16CTZ!$AE$39</f>
        <v>1.7978662477390897E-2</v>
      </c>
      <c r="AD34" s="68">
        <f>Multiplex_EEM_Savings_16CTZ!$AI$39</f>
        <v>83.201502578295262</v>
      </c>
      <c r="AE34" s="104">
        <f>Multiplex_EEM_Savings_16CTZ!$AE$40</f>
        <v>1.92474329004561E-2</v>
      </c>
      <c r="AF34" s="100">
        <f>Multiplex_EEM_Savings_16CTZ!$AI$40</f>
        <v>87.511060543428627</v>
      </c>
      <c r="AG34" s="67">
        <f>Multiplex_EEM_Savings_16CTZ!$AE$42</f>
        <v>1.9644875509437727E-2</v>
      </c>
      <c r="AH34" s="68">
        <f>Multiplex_EEM_Savings_16CTZ!$AI$42</f>
        <v>88.050939656815558</v>
      </c>
      <c r="AI34" s="67">
        <f>Multiplex_EEM_Savings_16CTZ!$AE$43</f>
        <v>2.20803383724495E-2</v>
      </c>
      <c r="AJ34" s="68">
        <f>Multiplex_EEM_Savings_16CTZ!$AI$43</f>
        <v>95.322153195126532</v>
      </c>
      <c r="AK34" s="104">
        <f>Multiplex_EEM_Savings_16CTZ!$AE$45</f>
        <v>-1.8741639397496151E-2</v>
      </c>
      <c r="AL34" s="68">
        <f>Multiplex_EEM_Savings_16CTZ!$AI$45</f>
        <v>-184.57439891429266</v>
      </c>
      <c r="AM34" s="67">
        <f>Multiplex_EEM_Savings_16CTZ!$AE$46</f>
        <v>-2.0241228253238729E-2</v>
      </c>
      <c r="AN34" s="100">
        <f>Multiplex_EEM_Savings_16CTZ!$AI$46</f>
        <v>-204.56477926119408</v>
      </c>
      <c r="AO34" s="164">
        <f>'Cooling Load'!$C$19+Multiplex_EEM_Savings_16CTZ!$AA$21</f>
        <v>7.8403563013266619E-2</v>
      </c>
      <c r="AP34" s="164">
        <f>'Cooling Load'!$G$19+Multiplex_EEM_Savings_16CTZ!$AC$21</f>
        <v>1.7542203209876546E-2</v>
      </c>
      <c r="AQ34" s="159">
        <f>'Cooling Load'!$C$19+Multiplex_EEM_Savings_16CTZ!$AA$22</f>
        <v>8.1486964461696842E-2</v>
      </c>
      <c r="AR34" s="159">
        <f>'Cooling Load'!$G$19+Multiplex_EEM_Savings_16CTZ!$AC$22</f>
        <v>1.9007176548127516E-2</v>
      </c>
      <c r="AS34" s="164">
        <f>'Cooling Load'!$D$19+Multiplex_EEM_Savings_16CTZ!$AA$24</f>
        <v>6.3753956963921873E-2</v>
      </c>
      <c r="AT34" s="164">
        <f>'Cooling Load'!$H$19+Multiplex_EEM_Savings_16CTZ!$AC$24</f>
        <v>1.7542203209876546E-2</v>
      </c>
      <c r="AU34" s="159">
        <f>'Cooling Load'!$D$19+Multiplex_EEM_Savings_16CTZ!$AA$25</f>
        <v>6.8483118468469897E-2</v>
      </c>
      <c r="AV34" s="159">
        <f>'Cooling Load'!$H$19+Multiplex_EEM_Savings_16CTZ!$AC$25</f>
        <v>1.9007176548127516E-2</v>
      </c>
      <c r="AW34" s="164">
        <f>'Cooling Load'!$E$19+Multiplex_EEM_Savings_16CTZ!$AA$26</f>
        <v>4.8725280880178995E-2</v>
      </c>
      <c r="AX34" s="164">
        <f>'Cooling Load'!$G$19+Multiplex_EEM_Savings_16CTZ!$AC$26</f>
        <v>1.7542203209876546E-2</v>
      </c>
      <c r="AY34" s="159">
        <f>'Cooling Load'!$E$19+Multiplex_EEM_Savings_16CTZ!$AA$27</f>
        <v>5.0633539031136973E-2</v>
      </c>
      <c r="AZ34" s="159">
        <f>'Cooling Load'!$G$19+Multiplex_EEM_Savings_16CTZ!$AC$27</f>
        <v>1.9007176548127516E-2</v>
      </c>
      <c r="BA34" s="164">
        <f>'Cooling Load'!$F$19+Multiplex_EEM_Savings_16CTZ!$AA$29</f>
        <v>2.5737349981219793E-2</v>
      </c>
      <c r="BB34" s="164">
        <f>'Cooling Load'!$H$19+Multiplex_EEM_Savings_16CTZ!$AC$29</f>
        <v>1.7542203209876546E-2</v>
      </c>
      <c r="BC34" s="159">
        <f>'Cooling Load'!$F$19+Multiplex_EEM_Savings_16CTZ!$AA$38</f>
        <v>3.4483118468469895E-2</v>
      </c>
      <c r="BD34" s="159">
        <f>'Cooling Load'!$H$19+Multiplex_EEM_Savings_16CTZ!$AC$38</f>
        <v>1.7023292755914004E-2</v>
      </c>
      <c r="BE34" s="164">
        <f>'Cooling Load'!$D$19+Multiplex_EEM_Savings_16CTZ!$AA$37</f>
        <v>6.3753956963921873E-2</v>
      </c>
      <c r="BF34" s="164">
        <f>'Cooling Load'!$I$19+Multiplex_EEM_Savings_16CTZ!$AC$37</f>
        <v>7.7586875038288938E-3</v>
      </c>
      <c r="BG34" s="159">
        <f>'Cooling Load'!$D$19+Multiplex_EEM_Savings_16CTZ!$AA$27</f>
        <v>6.1633539031136976E-2</v>
      </c>
      <c r="BH34" s="159">
        <f>'Cooling Load'!$I$19+Multiplex_EEM_Savings_16CTZ!$AC$27</f>
        <v>1.039050988146085E-2</v>
      </c>
      <c r="BI34" s="164">
        <f>'Cooling Load'!$F$19+Multiplex_EEM_Savings_16CTZ!$AA$39</f>
        <v>2.5737349981219793E-2</v>
      </c>
      <c r="BJ34" s="164">
        <f>'Cooling Load'!$I$19+Multiplex_EEM_Savings_16CTZ!$AC$39</f>
        <v>7.7586875038288938E-3</v>
      </c>
      <c r="BK34" s="159">
        <f>'Cooling Load'!$F$19+Multiplex_EEM_Savings_16CTZ!$AA$38</f>
        <v>3.4483118468469895E-2</v>
      </c>
      <c r="BL34" s="159">
        <f>'Cooling Load'!$I$19+Multiplex_EEM_Savings_16CTZ!$AC$38</f>
        <v>8.4066260892473373E-3</v>
      </c>
    </row>
    <row r="35" spans="2:64" ht="15.6" x14ac:dyDescent="0.25">
      <c r="B35" s="70">
        <v>3</v>
      </c>
      <c r="C35" s="66" t="s">
        <v>51</v>
      </c>
      <c r="D35" s="105" t="str">
        <f t="shared" si="3"/>
        <v>/Fixture</v>
      </c>
      <c r="E35" s="71">
        <f>Multiplex_EEM_Savings_16CTZ!$AP$21</f>
        <v>6.063981033123074E-2</v>
      </c>
      <c r="F35" s="68">
        <f>Multiplex_EEM_Savings_16CTZ!$AT$21</f>
        <v>284.61491341448118</v>
      </c>
      <c r="G35" s="67">
        <f>Multiplex_EEM_Savings_16CTZ!$AP$22</f>
        <v>6.2109651322175628E-2</v>
      </c>
      <c r="H35" s="100">
        <f>Multiplex_EEM_Savings_16CTZ!$AT$22</f>
        <v>290.04262124963071</v>
      </c>
      <c r="I35" s="71">
        <f>Multiplex_EEM_Savings_16CTZ!$AP$24</f>
        <v>4.5764913291547582E-2</v>
      </c>
      <c r="J35" s="68">
        <f>Multiplex_EEM_Savings_16CTZ!$AT$24</f>
        <v>211.61044269182077</v>
      </c>
      <c r="K35" s="104">
        <f>Multiplex_EEM_Savings_16CTZ!$AP$25</f>
        <v>4.8729417886348068E-2</v>
      </c>
      <c r="L35" s="100">
        <f>Multiplex_EEM_Savings_16CTZ!$AT$25</f>
        <v>221.37417902551411</v>
      </c>
      <c r="M35" s="71">
        <f>Multiplex_EEM_Savings_16CTZ!$AP$26</f>
        <v>3.1122395632185475E-2</v>
      </c>
      <c r="N35" s="68">
        <f>Multiplex_EEM_Savings_16CTZ!$AT$26</f>
        <v>146.71297877760594</v>
      </c>
      <c r="O35" s="104">
        <f>Multiplex_EEM_Savings_16CTZ!$AP$27</f>
        <v>3.152498267592381E-2</v>
      </c>
      <c r="P35" s="100">
        <f>Multiplex_EEM_Savings_16CTZ!$AT$27</f>
        <v>148.44509932170803</v>
      </c>
      <c r="Q35" s="71">
        <f>Multiplex_EEM_Savings_16CTZ!$AP$29</f>
        <v>8.1333078804675125E-3</v>
      </c>
      <c r="R35" s="68">
        <f>Multiplex_EEM_Savings_16CTZ!$AT$29</f>
        <v>38.433453116499351</v>
      </c>
      <c r="S35" s="67">
        <f>Multiplex_EEM_Savings_16CTZ!$AP$30</f>
        <v>8.5435699124995785E-3</v>
      </c>
      <c r="T35" s="113">
        <f>Multiplex_EEM_Savings_16CTZ!$AT$30</f>
        <v>40.196549142167818</v>
      </c>
      <c r="U35" s="71">
        <f>Multiplex_EEM_Savings_16CTZ!$AP$32</f>
        <v>3.2463641959986564E-2</v>
      </c>
      <c r="V35" s="68">
        <f>Multiplex_EEM_Savings_16CTZ!$AT$32</f>
        <v>73.845816937892593</v>
      </c>
      <c r="W35" s="67">
        <f>Multiplex_EEM_Savings_16CTZ!$AP$33</f>
        <v>3.1101729647742764E-2</v>
      </c>
      <c r="X35" s="100">
        <f>Multiplex_EEM_Savings_16CTZ!$AT$33</f>
        <v>64.933731636608741</v>
      </c>
      <c r="Y35" s="104">
        <f>Multiplex_EEM_Savings_16CTZ!$AP$37</f>
        <v>5.5436583672438457E-2</v>
      </c>
      <c r="Z35" s="68">
        <f>Multiplex_EEM_Savings_16CTZ!$AT$37</f>
        <v>253.58962619210931</v>
      </c>
      <c r="AA35" s="67">
        <f>Multiplex_EEM_Savings_16CTZ!$AP$38</f>
        <v>5.9143111445893917E-2</v>
      </c>
      <c r="AB35" s="68">
        <f>Multiplex_EEM_Savings_16CTZ!$AT$38</f>
        <v>264.20926265250586</v>
      </c>
      <c r="AC35" s="71">
        <f>Multiplex_EEM_Savings_16CTZ!$AP$39</f>
        <v>1.7804978261358385E-2</v>
      </c>
      <c r="AD35" s="68">
        <f>Multiplex_EEM_Savings_16CTZ!$AT$39</f>
        <v>82.45910328139108</v>
      </c>
      <c r="AE35" s="104">
        <f>Multiplex_EEM_Savings_16CTZ!$AP$40</f>
        <v>1.8957263472045426E-2</v>
      </c>
      <c r="AF35" s="100">
        <f>Multiplex_EEM_Savings_16CTZ!$AT$40</f>
        <v>86.33399087950319</v>
      </c>
      <c r="AG35" s="67">
        <f>Multiplex_EEM_Savings_16CTZ!$AP$42</f>
        <v>1.9311480712121618E-2</v>
      </c>
      <c r="AH35" s="68">
        <f>Multiplex_EEM_Savings_16CTZ!$AT$42</f>
        <v>86.811859525663081</v>
      </c>
      <c r="AI35" s="67">
        <f>Multiplex_EEM_Savings_16CTZ!$AP$43</f>
        <v>2.152334488172148E-2</v>
      </c>
      <c r="AJ35" s="68">
        <f>Multiplex_EEM_Savings_16CTZ!$AT$43</f>
        <v>93.357980145611151</v>
      </c>
      <c r="AK35" s="104">
        <f>Multiplex_EEM_Savings_16CTZ!$AP$45</f>
        <v>-1.8536358040013436E-2</v>
      </c>
      <c r="AL35" s="68">
        <f>Multiplex_EEM_Savings_16CTZ!$AT$45</f>
        <v>-182.206032797219</v>
      </c>
      <c r="AM35" s="67">
        <f>Multiplex_EEM_Savings_16CTZ!$AP$46</f>
        <v>-1.9898270352257233E-2</v>
      </c>
      <c r="AN35" s="100">
        <f>Multiplex_EEM_Savings_16CTZ!$AT$46</f>
        <v>-200.84006662136824</v>
      </c>
      <c r="AO35" s="164">
        <f>'Cooling Load'!$C$19+Multiplex_EEM_Savings_16CTZ!$AL$21</f>
        <v>7.7981470762731403E-2</v>
      </c>
      <c r="AP35" s="164">
        <f>'Cooling Load'!$G$19+Multiplex_EEM_Savings_16CTZ!$AN$21</f>
        <v>1.7341660431500656E-2</v>
      </c>
      <c r="AQ35" s="159">
        <f>'Cooling Load'!$C$19+Multiplex_EEM_Savings_16CTZ!$AL$22</f>
        <v>8.0781786582715287E-2</v>
      </c>
      <c r="AR35" s="159">
        <f>'Cooling Load'!$G$19+Multiplex_EEM_Savings_16CTZ!$AN$22</f>
        <v>1.8672135260539652E-2</v>
      </c>
      <c r="AS35" s="164">
        <f>'Cooling Load'!$D$19+Multiplex_EEM_Savings_16CTZ!$AL$24</f>
        <v>6.3106573723048232E-2</v>
      </c>
      <c r="AT35" s="164">
        <f>'Cooling Load'!$H$19+Multiplex_EEM_Savings_16CTZ!$AN$24</f>
        <v>1.7341660431500656E-2</v>
      </c>
      <c r="AU35" s="159">
        <f>'Cooling Load'!$D$19+Multiplex_EEM_Savings_16CTZ!$AL$25</f>
        <v>6.7401553146887727E-2</v>
      </c>
      <c r="AV35" s="159">
        <f>'Cooling Load'!$H$19+Multiplex_EEM_Savings_16CTZ!$AN$25</f>
        <v>1.8672135260539652E-2</v>
      </c>
      <c r="AW35" s="164">
        <f>'Cooling Load'!$E$19+Multiplex_EEM_Savings_16CTZ!$AL$26</f>
        <v>4.8464056063686131E-2</v>
      </c>
      <c r="AX35" s="164">
        <f>'Cooling Load'!$G$19+Multiplex_EEM_Savings_16CTZ!$AN$26</f>
        <v>1.7341660431500656E-2</v>
      </c>
      <c r="AY35" s="159">
        <f>'Cooling Load'!$E$19+Multiplex_EEM_Savings_16CTZ!$AL$27</f>
        <v>5.0197117936463462E-2</v>
      </c>
      <c r="AZ35" s="159">
        <f>'Cooling Load'!$G$19+Multiplex_EEM_Savings_16CTZ!$AN$27</f>
        <v>1.8672135260539652E-2</v>
      </c>
      <c r="BA35" s="164">
        <f>'Cooling Load'!$F$19+Multiplex_EEM_Savings_16CTZ!$AL$29</f>
        <v>2.5474968311968167E-2</v>
      </c>
      <c r="BB35" s="164">
        <f>'Cooling Load'!$H$19+Multiplex_EEM_Savings_16CTZ!$AN$29</f>
        <v>1.7341660431500656E-2</v>
      </c>
      <c r="BC35" s="159">
        <f>'Cooling Load'!$F$19+Multiplex_EEM_Savings_16CTZ!$AL$38</f>
        <v>3.3401553146887718E-2</v>
      </c>
      <c r="BD35" s="159">
        <f>'Cooling Load'!$H$19+Multiplex_EEM_Savings_16CTZ!$AN$38</f>
        <v>1.6875108367660471E-2</v>
      </c>
      <c r="BE35" s="164">
        <f>'Cooling Load'!$D$19+Multiplex_EEM_Savings_16CTZ!$AL$37</f>
        <v>6.3106573723048232E-2</v>
      </c>
      <c r="BF35" s="164">
        <f>'Cooling Load'!$I$19+Multiplex_EEM_Savings_16CTZ!$AN$37</f>
        <v>7.6699900506097827E-3</v>
      </c>
      <c r="BG35" s="159">
        <f>'Cooling Load'!$D$19+Multiplex_EEM_Savings_16CTZ!$AL$27</f>
        <v>6.1197117936463465E-2</v>
      </c>
      <c r="BH35" s="159">
        <f>'Cooling Load'!$I$19+Multiplex_EEM_Savings_16CTZ!$AN$27</f>
        <v>1.0055468593872987E-2</v>
      </c>
      <c r="BI35" s="164">
        <f>'Cooling Load'!$F$19+Multiplex_EEM_Savings_16CTZ!$AL$39</f>
        <v>2.5474968311968167E-2</v>
      </c>
      <c r="BJ35" s="164">
        <f>'Cooling Load'!$I$19+Multiplex_EEM_Savings_16CTZ!$AN$39</f>
        <v>7.6699900506097827E-3</v>
      </c>
      <c r="BK35" s="159">
        <f>'Cooling Load'!$F$19+Multiplex_EEM_Savings_16CTZ!$AL$38</f>
        <v>3.3401553146887718E-2</v>
      </c>
      <c r="BL35" s="159">
        <f>'Cooling Load'!$I$19+Multiplex_EEM_Savings_16CTZ!$AN$38</f>
        <v>8.2584417009938047E-3</v>
      </c>
    </row>
    <row r="36" spans="2:64" ht="15.6" x14ac:dyDescent="0.25">
      <c r="B36" s="70">
        <v>4</v>
      </c>
      <c r="C36" s="66" t="s">
        <v>52</v>
      </c>
      <c r="D36" s="105" t="str">
        <f t="shared" si="3"/>
        <v>/Fixture</v>
      </c>
      <c r="E36" s="71">
        <f>Multiplex_EEM_Savings_16CTZ!$BA$21</f>
        <v>6.0608763494207643E-2</v>
      </c>
      <c r="F36" s="68">
        <f>Multiplex_EEM_Savings_16CTZ!$BE$21</f>
        <v>284.69344234614096</v>
      </c>
      <c r="G36" s="67">
        <f>Multiplex_EEM_Savings_16CTZ!$BA$22</f>
        <v>6.20607472214749E-2</v>
      </c>
      <c r="H36" s="100">
        <f>Multiplex_EEM_Savings_16CTZ!$BE$22</f>
        <v>290.18568077464744</v>
      </c>
      <c r="I36" s="71">
        <f>Multiplex_EEM_Savings_16CTZ!$BA$24</f>
        <v>4.5702295299821942E-2</v>
      </c>
      <c r="J36" s="68">
        <f>Multiplex_EEM_Savings_16CTZ!$BE$24</f>
        <v>211.75148108503495</v>
      </c>
      <c r="K36" s="104">
        <f>Multiplex_EEM_Savings_16CTZ!$BA$25</f>
        <v>4.8630783794548313E-2</v>
      </c>
      <c r="L36" s="100">
        <f>Multiplex_EEM_Savings_16CTZ!$BE$25</f>
        <v>221.63116109536082</v>
      </c>
      <c r="M36" s="71">
        <f>Multiplex_EEM_Savings_16CTZ!$BA$26</f>
        <v>3.1113891954296806E-2</v>
      </c>
      <c r="N36" s="68">
        <f>Multiplex_EEM_Savings_16CTZ!$BE$26</f>
        <v>146.73829362955061</v>
      </c>
      <c r="O36" s="104">
        <f>Multiplex_EEM_Savings_16CTZ!$BA$27</f>
        <v>3.1511587922716439E-2</v>
      </c>
      <c r="P36" s="100">
        <f>Multiplex_EEM_Savings_16CTZ!$BE$27</f>
        <v>148.4911640395492</v>
      </c>
      <c r="Q36" s="71">
        <f>Multiplex_EEM_Savings_16CTZ!$BA$29</f>
        <v>8.1246420870084018E-3</v>
      </c>
      <c r="R36" s="68">
        <f>Multiplex_EEM_Savings_16CTZ!$BE$29</f>
        <v>38.459213610625781</v>
      </c>
      <c r="S36" s="67">
        <f>Multiplex_EEM_Savings_16CTZ!$BA$30</f>
        <v>8.5299197994249086E-3</v>
      </c>
      <c r="T36" s="113">
        <f>Multiplex_EEM_Savings_16CTZ!$BE$30</f>
        <v>40.243426224349435</v>
      </c>
      <c r="U36" s="71">
        <f>Multiplex_EEM_Savings_16CTZ!$BA$32</f>
        <v>3.2492409064631536E-2</v>
      </c>
      <c r="V36" s="68">
        <f>Multiplex_EEM_Savings_16CTZ!$BE$32</f>
        <v>73.719116455249051</v>
      </c>
      <c r="W36" s="67">
        <f>Multiplex_EEM_Savings_16CTZ!$BA$33</f>
        <v>3.1147042778396927E-2</v>
      </c>
      <c r="X36" s="100">
        <f>Multiplex_EEM_Savings_16CTZ!$BE$33</f>
        <v>64.702453787469693</v>
      </c>
      <c r="Y36" s="104">
        <f>Multiplex_EEM_Savings_16CTZ!$BA$37</f>
        <v>5.5358292235192529E-2</v>
      </c>
      <c r="Z36" s="68">
        <f>Multiplex_EEM_Savings_16CTZ!$BE$37</f>
        <v>253.74291412616654</v>
      </c>
      <c r="AA36" s="67">
        <f>Multiplex_EEM_Savings_16CTZ!$BA$38</f>
        <v>5.9019788985437437E-2</v>
      </c>
      <c r="AB36" s="68">
        <f>Multiplex_EEM_Savings_16CTZ!$BE$38</f>
        <v>264.48858782053549</v>
      </c>
      <c r="AC36" s="71">
        <f>Multiplex_EEM_Savings_16CTZ!$BA$39</f>
        <v>1.7780639022378985E-2</v>
      </c>
      <c r="AD36" s="68">
        <f>Multiplex_EEM_Savings_16CTZ!$BE$39</f>
        <v>82.515087485400898</v>
      </c>
      <c r="AE36" s="104">
        <f>Multiplex_EEM_Savings_16CTZ!$BA$40</f>
        <v>1.8918924990314029E-2</v>
      </c>
      <c r="AF36" s="100">
        <f>Multiplex_EEM_Savings_16CTZ!$BE$40</f>
        <v>86.435995849825972</v>
      </c>
      <c r="AG36" s="67">
        <f>Multiplex_EEM_Savings_16CTZ!$BA$42</f>
        <v>1.9264760429578233E-2</v>
      </c>
      <c r="AH36" s="68">
        <f>Multiplex_EEM_Savings_16CTZ!$BE$42</f>
        <v>86.906395048114618</v>
      </c>
      <c r="AI36" s="67">
        <f>Multiplex_EEM_Savings_16CTZ!$BA$43</f>
        <v>2.144975241236402E-2</v>
      </c>
      <c r="AJ36" s="68">
        <f>Multiplex_EEM_Savings_16CTZ!$BE$43</f>
        <v>93.530235608191305</v>
      </c>
      <c r="AK36" s="104">
        <f>Multiplex_EEM_Savings_16CTZ!$BA$45</f>
        <v>-1.8507590935368461E-2</v>
      </c>
      <c r="AL36" s="68">
        <f>Multiplex_EEM_Savings_16CTZ!$BE$45</f>
        <v>-182.47187265113877</v>
      </c>
      <c r="AM36" s="67">
        <f>Multiplex_EEM_Savings_16CTZ!$BA$46</f>
        <v>-1.985295722160307E-2</v>
      </c>
      <c r="AN36" s="100">
        <f>Multiplex_EEM_Savings_16CTZ!$BE$46</f>
        <v>-201.32513395317989</v>
      </c>
      <c r="AO36" s="164">
        <f>'Cooling Load'!$C$19+Multiplex_EEM_Savings_16CTZ!$AW$21</f>
        <v>7.792232086188372E-2</v>
      </c>
      <c r="AP36" s="164">
        <f>'Cooling Load'!$G$19+Multiplex_EEM_Savings_16CTZ!$AY$21</f>
        <v>1.7313557367676074E-2</v>
      </c>
      <c r="AQ36" s="159">
        <f>'Cooling Load'!$C$19+Multiplex_EEM_Savings_16CTZ!$AW$22</f>
        <v>8.0688615329703547E-2</v>
      </c>
      <c r="AR36" s="159">
        <f>'Cooling Load'!$G$19+Multiplex_EEM_Savings_16CTZ!$AY$22</f>
        <v>1.8627868108228654E-2</v>
      </c>
      <c r="AS36" s="164">
        <f>'Cooling Load'!$D$19+Multiplex_EEM_Savings_16CTZ!$AW$24</f>
        <v>6.3015852667498012E-2</v>
      </c>
      <c r="AT36" s="164">
        <f>'Cooling Load'!$H$19+Multiplex_EEM_Savings_16CTZ!$AY$24</f>
        <v>1.7313557367676074E-2</v>
      </c>
      <c r="AU36" s="159">
        <f>'Cooling Load'!$D$19+Multiplex_EEM_Savings_16CTZ!$AW$25</f>
        <v>6.7258651902776967E-2</v>
      </c>
      <c r="AV36" s="159">
        <f>'Cooling Load'!$H$19+Multiplex_EEM_Savings_16CTZ!$AY$25</f>
        <v>1.8627868108228654E-2</v>
      </c>
      <c r="AW36" s="164">
        <f>'Cooling Load'!$E$19+Multiplex_EEM_Savings_16CTZ!$AW$26</f>
        <v>4.8427449321972883E-2</v>
      </c>
      <c r="AX36" s="164">
        <f>'Cooling Load'!$G$19+Multiplex_EEM_Savings_16CTZ!$AY$26</f>
        <v>1.7313557367676074E-2</v>
      </c>
      <c r="AY36" s="159">
        <f>'Cooling Load'!$E$19+Multiplex_EEM_Savings_16CTZ!$AW$27</f>
        <v>5.0139456030945093E-2</v>
      </c>
      <c r="AZ36" s="159">
        <f>'Cooling Load'!$G$19+Multiplex_EEM_Savings_16CTZ!$AY$27</f>
        <v>1.8627868108228654E-2</v>
      </c>
      <c r="BA36" s="164">
        <f>'Cooling Load'!$F$19+Multiplex_EEM_Savings_16CTZ!$AW$29</f>
        <v>2.5438199454684476E-2</v>
      </c>
      <c r="BB36" s="164">
        <f>'Cooling Load'!$H$19+Multiplex_EEM_Savings_16CTZ!$AY$29</f>
        <v>1.7313557367676074E-2</v>
      </c>
      <c r="BC36" s="159">
        <f>'Cooling Load'!$F$19+Multiplex_EEM_Savings_16CTZ!$AW$38</f>
        <v>3.3258651902776964E-2</v>
      </c>
      <c r="BD36" s="159">
        <f>'Cooling Load'!$H$19+Multiplex_EEM_Savings_16CTZ!$AY$38</f>
        <v>1.6855529584006199E-2</v>
      </c>
      <c r="BE36" s="164">
        <f>'Cooling Load'!$D$19+Multiplex_EEM_Savings_16CTZ!$AW$37</f>
        <v>6.3015852667498012E-2</v>
      </c>
      <c r="BF36" s="164">
        <f>'Cooling Load'!$I$19+Multiplex_EEM_Savings_16CTZ!$AY$37</f>
        <v>7.6575604323054916E-3</v>
      </c>
      <c r="BG36" s="159">
        <f>'Cooling Load'!$D$19+Multiplex_EEM_Savings_16CTZ!$AW$27</f>
        <v>6.1139456030945095E-2</v>
      </c>
      <c r="BH36" s="159">
        <f>'Cooling Load'!$I$19+Multiplex_EEM_Savings_16CTZ!$AY$27</f>
        <v>1.0011201441561986E-2</v>
      </c>
      <c r="BI36" s="164">
        <f>'Cooling Load'!$F$19+Multiplex_EEM_Savings_16CTZ!$AW$39</f>
        <v>2.5438199454684476E-2</v>
      </c>
      <c r="BJ36" s="164">
        <f>'Cooling Load'!$I$19+Multiplex_EEM_Savings_16CTZ!$AY$39</f>
        <v>7.6575604323054916E-3</v>
      </c>
      <c r="BK36" s="159">
        <f>'Cooling Load'!$F$19+Multiplex_EEM_Savings_16CTZ!$AW$38</f>
        <v>3.3258651902776964E-2</v>
      </c>
      <c r="BL36" s="159">
        <f>'Cooling Load'!$I$19+Multiplex_EEM_Savings_16CTZ!$AY$38</f>
        <v>8.2388629173395338E-3</v>
      </c>
    </row>
    <row r="37" spans="2:64" ht="15.6" x14ac:dyDescent="0.25">
      <c r="B37" s="70">
        <v>5</v>
      </c>
      <c r="C37" s="66" t="s">
        <v>53</v>
      </c>
      <c r="D37" s="105" t="str">
        <f t="shared" si="3"/>
        <v>/Fixture</v>
      </c>
      <c r="E37" s="71">
        <f>Multiplex_EEM_Savings_16CTZ!$BL$21</f>
        <v>6.0455888722479346E-2</v>
      </c>
      <c r="F37" s="68">
        <f>Multiplex_EEM_Savings_16CTZ!$BP$21</f>
        <v>284.33995260508169</v>
      </c>
      <c r="G37" s="67">
        <f>Multiplex_EEM_Savings_16CTZ!$BL$22</f>
        <v>6.1830523901376902E-2</v>
      </c>
      <c r="H37" s="100">
        <f>Multiplex_EEM_Savings_16CTZ!$BP$22</f>
        <v>289.74440065465626</v>
      </c>
      <c r="I37" s="71">
        <f>Multiplex_EEM_Savings_16CTZ!$BL$24</f>
        <v>4.5393964013642291E-2</v>
      </c>
      <c r="J37" s="68">
        <f>Multiplex_EEM_Savings_16CTZ!$BP$24</f>
        <v>210.98845179417938</v>
      </c>
      <c r="K37" s="104">
        <f>Multiplex_EEM_Savings_16CTZ!$BL$25</f>
        <v>4.8166449152593618E-2</v>
      </c>
      <c r="L37" s="100">
        <f>Multiplex_EEM_Savings_16CTZ!$BP$25</f>
        <v>220.63001760516798</v>
      </c>
      <c r="M37" s="71">
        <f>Multiplex_EEM_Savings_16CTZ!$BL$26</f>
        <v>3.1072019804321793E-2</v>
      </c>
      <c r="N37" s="68">
        <f>Multiplex_EEM_Savings_16CTZ!$BP$26</f>
        <v>146.76924351682686</v>
      </c>
      <c r="O37" s="104">
        <f>Multiplex_EEM_Savings_16CTZ!$BL$27</f>
        <v>3.1448530131833699E-2</v>
      </c>
      <c r="P37" s="100">
        <f>Multiplex_EEM_Savings_16CTZ!$BP$27</f>
        <v>148.58476435598925</v>
      </c>
      <c r="Q37" s="71">
        <f>Multiplex_EEM_Savings_16CTZ!$BL$29</f>
        <v>8.0819716792009753E-3</v>
      </c>
      <c r="R37" s="68">
        <f>Multiplex_EEM_Savings_16CTZ!$BP$29</f>
        <v>38.486723641497342</v>
      </c>
      <c r="S37" s="67">
        <f>Multiplex_EEM_Savings_16CTZ!$BL$30</f>
        <v>8.4656598640261461E-3</v>
      </c>
      <c r="T37" s="113">
        <f>Multiplex_EEM_Savings_16CTZ!$BP$30</f>
        <v>40.332188501473489</v>
      </c>
      <c r="U37" s="71">
        <f>Multiplex_EEM_Savings_16CTZ!$BL$32</f>
        <v>3.2634058423392703E-2</v>
      </c>
      <c r="V37" s="68">
        <f>Multiplex_EEM_Savings_16CTZ!$BP$32</f>
        <v>75.566572412374541</v>
      </c>
      <c r="W37" s="67">
        <f>Multiplex_EEM_Savings_16CTZ!$BL$33</f>
        <v>3.136036107346335E-2</v>
      </c>
      <c r="X37" s="100">
        <f>Multiplex_EEM_Savings_16CTZ!$BP$33</f>
        <v>67.493168713673214</v>
      </c>
      <c r="Y37" s="104">
        <f>Multiplex_EEM_Savings_16CTZ!$BL$37</f>
        <v>5.4972784829451088E-2</v>
      </c>
      <c r="Z37" s="68">
        <f>Multiplex_EEM_Savings_16CTZ!$BP$37</f>
        <v>252.84851685224314</v>
      </c>
      <c r="AA37" s="67">
        <f>Multiplex_EEM_Savings_16CTZ!$BL$38</f>
        <v>5.8439230179894948E-2</v>
      </c>
      <c r="AB37" s="68">
        <f>Multiplex_EEM_Savings_16CTZ!$BP$38</f>
        <v>263.29453604057699</v>
      </c>
      <c r="AC37" s="71">
        <f>Multiplex_EEM_Savings_16CTZ!$BL$39</f>
        <v>1.7660792495009767E-2</v>
      </c>
      <c r="AD37" s="68">
        <f>Multiplex_EEM_Savings_16CTZ!$BP$39</f>
        <v>82.218468811443131</v>
      </c>
      <c r="AE37" s="104">
        <f>Multiplex_EEM_Savings_16CTZ!$BL$40</f>
        <v>1.8738440891327476E-2</v>
      </c>
      <c r="AF37" s="100">
        <f>Multiplex_EEM_Savings_16CTZ!$BP$40</f>
        <v>86.048788924619458</v>
      </c>
      <c r="AG37" s="67">
        <f>Multiplex_EEM_Savings_16CTZ!$BL$42</f>
        <v>1.9034709538288144E-2</v>
      </c>
      <c r="AH37" s="68">
        <f>Multiplex_EEM_Savings_16CTZ!$BP$42</f>
        <v>86.381245522002871</v>
      </c>
      <c r="AI37" s="67">
        <f>Multiplex_EEM_Savings_16CTZ!$BL$43</f>
        <v>2.1103304928678238E-2</v>
      </c>
      <c r="AJ37" s="68">
        <f>Multiplex_EEM_Savings_16CTZ!$BP$43</f>
        <v>92.836880402759348</v>
      </c>
      <c r="AK37" s="104">
        <f>Multiplex_EEM_Savings_16CTZ!$BL$45</f>
        <v>-1.836594157660729E-2</v>
      </c>
      <c r="AL37" s="68">
        <f>Multiplex_EEM_Savings_16CTZ!$BP$45</f>
        <v>-179.1322416970805</v>
      </c>
      <c r="AM37" s="67">
        <f>Multiplex_EEM_Savings_16CTZ!$BL$46</f>
        <v>-1.9639638926536643E-2</v>
      </c>
      <c r="AN37" s="100">
        <f>Multiplex_EEM_Savings_16CTZ!$BP$46</f>
        <v>-196.34322357762025</v>
      </c>
      <c r="AO37" s="164">
        <f>'Cooling Load'!$C$19+Multiplex_EEM_Savings_16CTZ!$BH$21</f>
        <v>7.7631066471521418E-2</v>
      </c>
      <c r="AP37" s="164">
        <f>'Cooling Load'!$G$19+Multiplex_EEM_Savings_16CTZ!$BJ$21</f>
        <v>1.7175177749042071E-2</v>
      </c>
      <c r="AQ37" s="159">
        <f>'Cooling Load'!$C$19+Multiplex_EEM_Savings_16CTZ!$BH$22</f>
        <v>8.0249997812998436E-2</v>
      </c>
      <c r="AR37" s="159">
        <f>'Cooling Load'!$G$19+Multiplex_EEM_Savings_16CTZ!$BJ$22</f>
        <v>1.8419473911621534E-2</v>
      </c>
      <c r="AS37" s="164">
        <f>'Cooling Load'!$D$19+Multiplex_EEM_Savings_16CTZ!$BH$24</f>
        <v>6.2569141762684355E-2</v>
      </c>
      <c r="AT37" s="164">
        <f>'Cooling Load'!$H$19+Multiplex_EEM_Savings_16CTZ!$BJ$24</f>
        <v>1.7175177749042071E-2</v>
      </c>
      <c r="AU37" s="159">
        <f>'Cooling Load'!$D$19+Multiplex_EEM_Savings_16CTZ!$BH$25</f>
        <v>6.6585923064215152E-2</v>
      </c>
      <c r="AV37" s="159">
        <f>'Cooling Load'!$H$19+Multiplex_EEM_Savings_16CTZ!$BJ$25</f>
        <v>1.8419473911621534E-2</v>
      </c>
      <c r="AW37" s="164">
        <f>'Cooling Load'!$E$19+Multiplex_EEM_Savings_16CTZ!$BH$26</f>
        <v>4.824719755336386E-2</v>
      </c>
      <c r="AX37" s="164">
        <f>'Cooling Load'!$G$19+Multiplex_EEM_Savings_16CTZ!$BJ$26</f>
        <v>1.7175177749042071E-2</v>
      </c>
      <c r="AY37" s="159">
        <f>'Cooling Load'!$E$19+Multiplex_EEM_Savings_16CTZ!$BH$27</f>
        <v>4.9868004043455233E-2</v>
      </c>
      <c r="AZ37" s="159">
        <f>'Cooling Load'!$G$19+Multiplex_EEM_Savings_16CTZ!$BJ$27</f>
        <v>1.8419473911621534E-2</v>
      </c>
      <c r="BA37" s="164">
        <f>'Cooling Load'!$F$19+Multiplex_EEM_Savings_16CTZ!$BH$29</f>
        <v>2.5257149428243045E-2</v>
      </c>
      <c r="BB37" s="164">
        <f>'Cooling Load'!$H$19+Multiplex_EEM_Savings_16CTZ!$BJ$29</f>
        <v>1.7175177749042071E-2</v>
      </c>
      <c r="BC37" s="159">
        <f>'Cooling Load'!$F$19+Multiplex_EEM_Savings_16CTZ!$BH$38</f>
        <v>3.258592306421515E-2</v>
      </c>
      <c r="BD37" s="159">
        <f>'Cooling Load'!$H$19+Multiplex_EEM_Savings_16CTZ!$BJ$38</f>
        <v>1.6763359550986869E-2</v>
      </c>
      <c r="BE37" s="164">
        <f>'Cooling Load'!$D$19+Multiplex_EEM_Savings_16CTZ!$BH$37</f>
        <v>6.2569141762684355E-2</v>
      </c>
      <c r="BF37" s="164">
        <f>'Cooling Load'!$I$19+Multiplex_EEM_Savings_16CTZ!$BJ$37</f>
        <v>7.5963569332332783E-3</v>
      </c>
      <c r="BG37" s="159">
        <f>'Cooling Load'!$D$19+Multiplex_EEM_Savings_16CTZ!$BH$27</f>
        <v>6.0868004043455236E-2</v>
      </c>
      <c r="BH37" s="159">
        <f>'Cooling Load'!$I$19+Multiplex_EEM_Savings_16CTZ!$BJ$27</f>
        <v>9.8028072449548673E-3</v>
      </c>
      <c r="BI37" s="164">
        <f>'Cooling Load'!$F$19+Multiplex_EEM_Savings_16CTZ!$BH$39</f>
        <v>2.5257149428243045E-2</v>
      </c>
      <c r="BJ37" s="164">
        <f>'Cooling Load'!$I$19+Multiplex_EEM_Savings_16CTZ!$BJ$39</f>
        <v>7.5963569332332783E-3</v>
      </c>
      <c r="BK37" s="159">
        <f>'Cooling Load'!$F$19+Multiplex_EEM_Savings_16CTZ!$BH$38</f>
        <v>3.258592306421515E-2</v>
      </c>
      <c r="BL37" s="159">
        <f>'Cooling Load'!$I$19+Multiplex_EEM_Savings_16CTZ!$BJ$38</f>
        <v>8.1466928843202044E-3</v>
      </c>
    </row>
    <row r="38" spans="2:64" s="240" customFormat="1" x14ac:dyDescent="0.25">
      <c r="B38" s="231">
        <v>6</v>
      </c>
      <c r="C38" s="232" t="s">
        <v>221</v>
      </c>
      <c r="D38" s="233" t="str">
        <f t="shared" si="3"/>
        <v>/Fixture</v>
      </c>
      <c r="E38" s="234">
        <f>Multiplex_EEM_Savings_16CTZ!$BW$21</f>
        <v>6.0547129171933847E-2</v>
      </c>
      <c r="F38" s="235">
        <f>Multiplex_EEM_Savings_16CTZ!$CA$21</f>
        <v>284.4240374113246</v>
      </c>
      <c r="G38" s="236">
        <f>Multiplex_EEM_Savings_16CTZ!$BW$22</f>
        <v>6.1965832838149479E-2</v>
      </c>
      <c r="H38" s="237">
        <f>Multiplex_EEM_Savings_16CTZ!$CA$22</f>
        <v>289.79227628085374</v>
      </c>
      <c r="I38" s="234">
        <f>Multiplex_EEM_Savings_16CTZ!$BW$24</f>
        <v>4.5577985777428887E-2</v>
      </c>
      <c r="J38" s="235">
        <f>Multiplex_EEM_Savings_16CTZ!$CA$24</f>
        <v>211.29777010964554</v>
      </c>
      <c r="K38" s="238">
        <f>Multiplex_EEM_Savings_16CTZ!$BW$25</f>
        <v>4.8439352117778986E-2</v>
      </c>
      <c r="L38" s="237">
        <f>Multiplex_EEM_Savings_16CTZ!$CA$25</f>
        <v>220.97356714861928</v>
      </c>
      <c r="M38" s="234">
        <f>Multiplex_EEM_Savings_16CTZ!$BW$26</f>
        <v>3.1097010414218737E-2</v>
      </c>
      <c r="N38" s="235">
        <f>Multiplex_EEM_Savings_16CTZ!$CA$26</f>
        <v>146.6173679779499</v>
      </c>
      <c r="O38" s="238">
        <f>Multiplex_EEM_Savings_16CTZ!$BW$27</f>
        <v>3.1485591028340358E-2</v>
      </c>
      <c r="P38" s="237">
        <f>Multiplex_EEM_Savings_16CTZ!$CA$27</f>
        <v>148.30898586500589</v>
      </c>
      <c r="Q38" s="234">
        <f>Multiplex_EEM_Savings_16CTZ!$BW$29</f>
        <v>8.1074387143614639E-3</v>
      </c>
      <c r="R38" s="235">
        <f>Multiplex_EEM_Savings_16CTZ!$CA$29</f>
        <v>38.337096343190886</v>
      </c>
      <c r="S38" s="236">
        <f>Multiplex_EEM_Savings_16CTZ!$BW$30</f>
        <v>8.5034272958057749E-3</v>
      </c>
      <c r="T38" s="239">
        <f>Multiplex_EEM_Savings_16CTZ!$CA$30</f>
        <v>40.059563318950808</v>
      </c>
      <c r="U38" s="234">
        <f>Multiplex_EEM_Savings_16CTZ!$BW$32</f>
        <v>3.260603420166322E-2</v>
      </c>
      <c r="V38" s="235">
        <f>Multiplex_EEM_Savings_16CTZ!$CA$32</f>
        <v>74.296712217141135</v>
      </c>
      <c r="W38" s="236">
        <f>Multiplex_EEM_Savings_16CTZ!$BW$33</f>
        <v>3.1319427347634148E-2</v>
      </c>
      <c r="X38" s="237">
        <f>Multiplex_EEM_Savings_16CTZ!$CA$33</f>
        <v>65.476721663731155</v>
      </c>
      <c r="Y38" s="238">
        <f>Multiplex_EEM_Savings_16CTZ!$BW$37</f>
        <v>5.5202867717361465E-2</v>
      </c>
      <c r="Z38" s="235">
        <f>Multiplex_EEM_Savings_16CTZ!$CA$37</f>
        <v>253.26510729571035</v>
      </c>
      <c r="AA38" s="236">
        <f>Multiplex_EEM_Savings_16CTZ!$BW$38</f>
        <v>5.8780441464131798E-2</v>
      </c>
      <c r="AB38" s="235">
        <f>Multiplex_EEM_Savings_16CTZ!$CA$38</f>
        <v>263.79875008950211</v>
      </c>
      <c r="AC38" s="234">
        <f>Multiplex_EEM_Savings_16CTZ!$BW$39</f>
        <v>1.7732320654294038E-2</v>
      </c>
      <c r="AD38" s="235">
        <f>Multiplex_EEM_Savings_16CTZ!$CA$39</f>
        <v>82.333517692988764</v>
      </c>
      <c r="AE38" s="238">
        <f>Multiplex_EEM_Savings_16CTZ!$BW$40</f>
        <v>1.8844516642158585E-2</v>
      </c>
      <c r="AF38" s="237">
        <f>Multiplex_EEM_Savings_16CTZ!$CA$40</f>
        <v>86.172576755794097</v>
      </c>
      <c r="AG38" s="236">
        <f>Multiplex_EEM_Savings_16CTZ!$BW$42</f>
        <v>1.908022331429788E-2</v>
      </c>
      <c r="AH38" s="235">
        <f>Multiplex_EEM_Savings_16CTZ!$CA$42</f>
        <v>86.286024109647002</v>
      </c>
      <c r="AI38" s="236">
        <f>Multiplex_EEM_Savings_16CTZ!$BW$43</f>
        <v>2.116978486330829E-2</v>
      </c>
      <c r="AJ38" s="235">
        <f>Multiplex_EEM_Savings_16CTZ!$CA$43</f>
        <v>92.642495402768233</v>
      </c>
      <c r="AK38" s="238">
        <f>Multiplex_EEM_Savings_16CTZ!$BW$45</f>
        <v>-1.8393965798336773E-2</v>
      </c>
      <c r="AL38" s="235">
        <f>Multiplex_EEM_Savings_16CTZ!$CA$45</f>
        <v>-181.14085371372752</v>
      </c>
      <c r="AM38" s="236">
        <f>Multiplex_EEM_Savings_16CTZ!$BW$46</f>
        <v>-1.9680572652365846E-2</v>
      </c>
      <c r="AN38" s="237">
        <f>Multiplex_EEM_Savings_16CTZ!$CA$46</f>
        <v>-199.50559878671299</v>
      </c>
      <c r="AO38" s="230">
        <f>'Cooling Load'!$C$19+Multiplex_EEM_Savings_16CTZ!$BS$21</f>
        <v>7.7804896209298438E-2</v>
      </c>
      <c r="AP38" s="230">
        <f>'Cooling Load'!$G$19+Multiplex_EEM_Savings_16CTZ!$BU$21</f>
        <v>1.7257767037364598E-2</v>
      </c>
      <c r="AQ38" s="230">
        <f>'Cooling Load'!$C$19+Multiplex_EEM_Savings_16CTZ!$BS$22</f>
        <v>8.0507786076194077E-2</v>
      </c>
      <c r="AR38" s="230">
        <f>'Cooling Load'!$G$19+Multiplex_EEM_Savings_16CTZ!$BU$22</f>
        <v>1.8541953238044598E-2</v>
      </c>
      <c r="AS38" s="230">
        <f>'Cooling Load'!$D$19+Multiplex_EEM_Savings_16CTZ!$BS$24</f>
        <v>6.2835752814793491E-2</v>
      </c>
      <c r="AT38" s="230">
        <f>'Cooling Load'!$H$19+Multiplex_EEM_Savings_16CTZ!$BU$24</f>
        <v>1.7257767037364598E-2</v>
      </c>
      <c r="AU38" s="230">
        <f>'Cooling Load'!$D$19+Multiplex_EEM_Savings_16CTZ!$BS$25</f>
        <v>6.6981305355823584E-2</v>
      </c>
      <c r="AV38" s="230">
        <f>'Cooling Load'!$H$19+Multiplex_EEM_Savings_16CTZ!$BU$25</f>
        <v>1.8541953238044598E-2</v>
      </c>
      <c r="AW38" s="230">
        <f>'Cooling Load'!$E$19+Multiplex_EEM_Savings_16CTZ!$BS$26</f>
        <v>4.8354777451583335E-2</v>
      </c>
      <c r="AX38" s="230">
        <f>'Cooling Load'!$G$19+Multiplex_EEM_Savings_16CTZ!$BU$26</f>
        <v>1.7257767037364598E-2</v>
      </c>
      <c r="AY38" s="230">
        <f>'Cooling Load'!$E$19+Multiplex_EEM_Savings_16CTZ!$BS$27</f>
        <v>5.0027544266384949E-2</v>
      </c>
      <c r="AZ38" s="230">
        <f>'Cooling Load'!$G$19+Multiplex_EEM_Savings_16CTZ!$BU$27</f>
        <v>1.8541953238044598E-2</v>
      </c>
      <c r="BA38" s="230">
        <f>'Cooling Load'!$F$19+Multiplex_EEM_Savings_16CTZ!$BS$29</f>
        <v>2.5365205751726062E-2</v>
      </c>
      <c r="BB38" s="230">
        <f>'Cooling Load'!$H$19+Multiplex_EEM_Savings_16CTZ!$BU$29</f>
        <v>1.7257767037364598E-2</v>
      </c>
      <c r="BC38" s="230">
        <f>'Cooling Load'!$F$19+Multiplex_EEM_Savings_16CTZ!$BS$38</f>
        <v>3.2981305355823581E-2</v>
      </c>
      <c r="BD38" s="230">
        <f>'Cooling Load'!$H$19+Multiplex_EEM_Savings_16CTZ!$BU$38</f>
        <v>1.681753055835845E-2</v>
      </c>
      <c r="BE38" s="230">
        <f>'Cooling Load'!$D$19+Multiplex_EEM_Savings_16CTZ!$BS$37</f>
        <v>6.2835752814793491E-2</v>
      </c>
      <c r="BF38" s="230">
        <f>'Cooling Load'!$I$19+Multiplex_EEM_Savings_16CTZ!$BU$37</f>
        <v>7.6328850974320224E-3</v>
      </c>
      <c r="BG38" s="230">
        <f>'Cooling Load'!$D$19+Multiplex_EEM_Savings_16CTZ!$BS$27</f>
        <v>6.1027544266384952E-2</v>
      </c>
      <c r="BH38" s="230">
        <f>'Cooling Load'!$I$19+Multiplex_EEM_Savings_16CTZ!$BU$27</f>
        <v>9.9252865713779295E-3</v>
      </c>
      <c r="BI38" s="230">
        <f>'Cooling Load'!$F$19+Multiplex_EEM_Savings_16CTZ!$BS$39</f>
        <v>2.5365205751726062E-2</v>
      </c>
      <c r="BJ38" s="230">
        <f>'Cooling Load'!$I$19+Multiplex_EEM_Savings_16CTZ!$BU$39</f>
        <v>7.6328850974320224E-3</v>
      </c>
      <c r="BK38" s="230">
        <f>'Cooling Load'!$F$19+Multiplex_EEM_Savings_16CTZ!$BS$38</f>
        <v>3.2981305355823581E-2</v>
      </c>
      <c r="BL38" s="230">
        <f>'Cooling Load'!$I$19+Multiplex_EEM_Savings_16CTZ!$BU$38</f>
        <v>8.2008638916917839E-3</v>
      </c>
    </row>
    <row r="39" spans="2:64" ht="15.6" x14ac:dyDescent="0.25">
      <c r="B39" s="70">
        <v>7</v>
      </c>
      <c r="C39" s="66" t="s">
        <v>54</v>
      </c>
      <c r="D39" s="105" t="str">
        <f t="shared" si="3"/>
        <v>/Fixture</v>
      </c>
      <c r="E39" s="71">
        <f>Multiplex_EEM_Savings_16CTZ!$CH$21</f>
        <v>6.0455888722479346E-2</v>
      </c>
      <c r="F39" s="68">
        <f>Multiplex_EEM_Savings_16CTZ!$CL$21</f>
        <v>284.37480057103062</v>
      </c>
      <c r="G39" s="67">
        <f>Multiplex_EEM_Savings_16CTZ!$CH$22</f>
        <v>6.1830523901376902E-2</v>
      </c>
      <c r="H39" s="100">
        <f>Multiplex_EEM_Savings_16CTZ!$CL$22</f>
        <v>289.80122598955558</v>
      </c>
      <c r="I39" s="71">
        <f>Multiplex_EEM_Savings_16CTZ!$CH$24</f>
        <v>4.5393964013642291E-2</v>
      </c>
      <c r="J39" s="68">
        <f>Multiplex_EEM_Savings_16CTZ!$CL$24</f>
        <v>211.13928376896223</v>
      </c>
      <c r="K39" s="104">
        <f>Multiplex_EEM_Savings_16CTZ!$CH$25</f>
        <v>4.8166449152593618E-2</v>
      </c>
      <c r="L39" s="100">
        <f>Multiplex_EEM_Savings_16CTZ!$CL$25</f>
        <v>220.87597392563481</v>
      </c>
      <c r="M39" s="71">
        <f>Multiplex_EEM_Savings_16CTZ!$CH$26</f>
        <v>3.1072019804321793E-2</v>
      </c>
      <c r="N39" s="68">
        <f>Multiplex_EEM_Savings_16CTZ!$CL$26</f>
        <v>146.68070444726342</v>
      </c>
      <c r="O39" s="104">
        <f>Multiplex_EEM_Savings_16CTZ!$CH$27</f>
        <v>3.1448530131833699E-2</v>
      </c>
      <c r="P39" s="100">
        <f>Multiplex_EEM_Savings_16CTZ!$CL$27</f>
        <v>148.44038685381352</v>
      </c>
      <c r="Q39" s="71">
        <f>Multiplex_EEM_Savings_16CTZ!$CH$29</f>
        <v>8.0819716792009753E-3</v>
      </c>
      <c r="R39" s="68">
        <f>Multiplex_EEM_Savings_16CTZ!$CL$29</f>
        <v>38.39936960859788</v>
      </c>
      <c r="S39" s="67">
        <f>Multiplex_EEM_Savings_16CTZ!$CH$30</f>
        <v>8.4656598640261461E-3</v>
      </c>
      <c r="T39" s="113">
        <f>Multiplex_EEM_Savings_16CTZ!$CL$30</f>
        <v>40.189743396310426</v>
      </c>
      <c r="U39" s="71">
        <f>Multiplex_EEM_Savings_16CTZ!$CH$32</f>
        <v>3.2634058423392703E-2</v>
      </c>
      <c r="V39" s="68">
        <f>Multiplex_EEM_Savings_16CTZ!$CL$32</f>
        <v>74.63097779691887</v>
      </c>
      <c r="W39" s="67">
        <f>Multiplex_EEM_Savings_16CTZ!$CH$33</f>
        <v>3.136036107346335E-2</v>
      </c>
      <c r="X39" s="100">
        <f>Multiplex_EEM_Savings_16CTZ!$CL$33</f>
        <v>65.967527950848279</v>
      </c>
      <c r="Y39" s="104">
        <f>Multiplex_EEM_Savings_16CTZ!$CH$37</f>
        <v>5.4972784829451088E-2</v>
      </c>
      <c r="Z39" s="68">
        <f>Multiplex_EEM_Savings_16CTZ!$CL$37</f>
        <v>253.0572716938679</v>
      </c>
      <c r="AA39" s="67">
        <f>Multiplex_EEM_Savings_16CTZ!$CH$38</f>
        <v>5.8439230179894948E-2</v>
      </c>
      <c r="AB39" s="68">
        <f>Multiplex_EEM_Savings_16CTZ!$CL$38</f>
        <v>263.63494511365047</v>
      </c>
      <c r="AC39" s="71">
        <f>Multiplex_EEM_Savings_16CTZ!$CH$39</f>
        <v>1.7660792495009767E-2</v>
      </c>
      <c r="AD39" s="68">
        <f>Multiplex_EEM_Savings_16CTZ!$CL$39</f>
        <v>82.274029843318473</v>
      </c>
      <c r="AE39" s="104">
        <f>Multiplex_EEM_Savings_16CTZ!$CH$40</f>
        <v>1.8738440891327476E-2</v>
      </c>
      <c r="AF39" s="100">
        <f>Multiplex_EEM_Savings_16CTZ!$CL$40</f>
        <v>86.139390317202668</v>
      </c>
      <c r="AG39" s="67">
        <f>Multiplex_EEM_Savings_16CTZ!$CH$42</f>
        <v>1.9034709538288144E-2</v>
      </c>
      <c r="AH39" s="68">
        <f>Multiplex_EEM_Savings_16CTZ!$CL$42</f>
        <v>86.491781845491531</v>
      </c>
      <c r="AI39" s="67">
        <f>Multiplex_EEM_Savings_16CTZ!$CH$43</f>
        <v>2.1103304928678238E-2</v>
      </c>
      <c r="AJ39" s="68">
        <f>Multiplex_EEM_Savings_16CTZ!$CL$43</f>
        <v>93.017128042176296</v>
      </c>
      <c r="AK39" s="104">
        <f>Multiplex_EEM_Savings_16CTZ!$CH$45</f>
        <v>-1.836594157660729E-2</v>
      </c>
      <c r="AL39" s="68">
        <f>Multiplex_EEM_Savings_16CTZ!$CL$45</f>
        <v>-180.72576719975669</v>
      </c>
      <c r="AM39" s="67">
        <f>Multiplex_EEM_Savings_16CTZ!$CH$46</f>
        <v>-1.9639638926536643E-2</v>
      </c>
      <c r="AN39" s="100">
        <f>Multiplex_EEM_Savings_16CTZ!$CL$46</f>
        <v>-198.94172876707114</v>
      </c>
      <c r="AO39" s="164">
        <f>'Cooling Load'!$C$19+Multiplex_EEM_Savings_16CTZ!$CD$21</f>
        <v>7.7631066471521418E-2</v>
      </c>
      <c r="AP39" s="164">
        <f>'Cooling Load'!$G$19+Multiplex_EEM_Savings_16CTZ!$CF$21</f>
        <v>1.7175177749042071E-2</v>
      </c>
      <c r="AQ39" s="159">
        <f>'Cooling Load'!$C$19+Multiplex_EEM_Savings_16CTZ!$CD$22</f>
        <v>8.0249997812998436E-2</v>
      </c>
      <c r="AR39" s="159">
        <f>'Cooling Load'!$G$19+Multiplex_EEM_Savings_16CTZ!$CF$22</f>
        <v>1.8419473911621534E-2</v>
      </c>
      <c r="AS39" s="164">
        <f>'Cooling Load'!$D$19+Multiplex_EEM_Savings_16CTZ!$CD$24</f>
        <v>6.2569141762684355E-2</v>
      </c>
      <c r="AT39" s="164">
        <f>'Cooling Load'!$H$19+Multiplex_EEM_Savings_16CTZ!$CF$24</f>
        <v>1.7175177749042071E-2</v>
      </c>
      <c r="AU39" s="159">
        <f>'Cooling Load'!$D$19+Multiplex_EEM_Savings_16CTZ!$CD$25</f>
        <v>6.6585923064215152E-2</v>
      </c>
      <c r="AV39" s="159">
        <f>'Cooling Load'!$H$19+Multiplex_EEM_Savings_16CTZ!$CF$25</f>
        <v>1.8419473911621534E-2</v>
      </c>
      <c r="AW39" s="164">
        <f>'Cooling Load'!$E$19+Multiplex_EEM_Savings_16CTZ!$CD$26</f>
        <v>4.824719755336386E-2</v>
      </c>
      <c r="AX39" s="164">
        <f>'Cooling Load'!$G$19+Multiplex_EEM_Savings_16CTZ!$CF$26</f>
        <v>1.7175177749042071E-2</v>
      </c>
      <c r="AY39" s="159">
        <f>'Cooling Load'!$E$19+Multiplex_EEM_Savings_16CTZ!$CD$27</f>
        <v>4.9868004043455233E-2</v>
      </c>
      <c r="AZ39" s="159">
        <f>'Cooling Load'!$G$19+Multiplex_EEM_Savings_16CTZ!$CF$27</f>
        <v>1.8419473911621534E-2</v>
      </c>
      <c r="BA39" s="164">
        <f>'Cooling Load'!$F$19+Multiplex_EEM_Savings_16CTZ!$CD$29</f>
        <v>2.5257149428243045E-2</v>
      </c>
      <c r="BB39" s="164">
        <f>'Cooling Load'!$H$19+Multiplex_EEM_Savings_16CTZ!$CF$29</f>
        <v>1.7175177749042071E-2</v>
      </c>
      <c r="BC39" s="159">
        <f>'Cooling Load'!$F$19+Multiplex_EEM_Savings_16CTZ!$CD$38</f>
        <v>3.258592306421515E-2</v>
      </c>
      <c r="BD39" s="159">
        <f>'Cooling Load'!$H$19+Multiplex_EEM_Savings_16CTZ!$CF$38</f>
        <v>1.6763359550986869E-2</v>
      </c>
      <c r="BE39" s="164">
        <f>'Cooling Load'!$D$19+Multiplex_EEM_Savings_16CTZ!$CD$37</f>
        <v>6.2569141762684355E-2</v>
      </c>
      <c r="BF39" s="164">
        <f>'Cooling Load'!$I$19+Multiplex_EEM_Savings_16CTZ!$CF$37</f>
        <v>7.5963569332332783E-3</v>
      </c>
      <c r="BG39" s="159">
        <f>'Cooling Load'!$D$19+Multiplex_EEM_Savings_16CTZ!$CD$27</f>
        <v>6.0868004043455236E-2</v>
      </c>
      <c r="BH39" s="159">
        <f>'Cooling Load'!$I$19+Multiplex_EEM_Savings_16CTZ!$CF$27</f>
        <v>9.8028072449548673E-3</v>
      </c>
      <c r="BI39" s="164">
        <f>'Cooling Load'!$F$19+Multiplex_EEM_Savings_16CTZ!$CD$39</f>
        <v>2.5257149428243045E-2</v>
      </c>
      <c r="BJ39" s="164">
        <f>'Cooling Load'!$I$19+Multiplex_EEM_Savings_16CTZ!$CF$39</f>
        <v>7.5963569332332783E-3</v>
      </c>
      <c r="BK39" s="159">
        <f>'Cooling Load'!$F$19+Multiplex_EEM_Savings_16CTZ!$CD$38</f>
        <v>3.258592306421515E-2</v>
      </c>
      <c r="BL39" s="159">
        <f>'Cooling Load'!$I$19+Multiplex_EEM_Savings_16CTZ!$CF$38</f>
        <v>8.1466928843202044E-3</v>
      </c>
    </row>
    <row r="40" spans="2:64" s="240" customFormat="1" x14ac:dyDescent="0.25">
      <c r="B40" s="231">
        <v>8</v>
      </c>
      <c r="C40" s="232" t="s">
        <v>222</v>
      </c>
      <c r="D40" s="233" t="str">
        <f t="shared" si="3"/>
        <v>/Fixture</v>
      </c>
      <c r="E40" s="234">
        <f>Multiplex_EEM_Savings_16CTZ!$CS$21</f>
        <v>6.0797286900311394E-2</v>
      </c>
      <c r="F40" s="235">
        <f>Multiplex_EEM_Savings_16CTZ!$CW$21</f>
        <v>286.06692752527687</v>
      </c>
      <c r="G40" s="236">
        <f>Multiplex_EEM_Savings_16CTZ!$CS$22</f>
        <v>6.2369006474430166E-2</v>
      </c>
      <c r="H40" s="237">
        <f>Multiplex_EEM_Savings_16CTZ!$CW$22</f>
        <v>292.34717204671796</v>
      </c>
      <c r="I40" s="234">
        <f>Multiplex_EEM_Savings_16CTZ!$CS$24</f>
        <v>4.6082525887392319E-2</v>
      </c>
      <c r="J40" s="235">
        <f>Multiplex_EEM_Savings_16CTZ!$CW$24</f>
        <v>214.12458881131829</v>
      </c>
      <c r="K40" s="238">
        <f>Multiplex_EEM_Savings_16CTZ!$CS$25</f>
        <v>4.9252508169773543E-2</v>
      </c>
      <c r="L40" s="237">
        <f>Multiplex_EEM_Savings_16CTZ!$CW$25</f>
        <v>225.36225182946444</v>
      </c>
      <c r="M40" s="234">
        <f>Multiplex_EEM_Savings_16CTZ!$CS$26</f>
        <v>3.1165528206929822E-2</v>
      </c>
      <c r="N40" s="235">
        <f>Multiplex_EEM_Savings_16CTZ!$CW$26</f>
        <v>147.2869720322017</v>
      </c>
      <c r="O40" s="238">
        <f>Multiplex_EEM_Savings_16CTZ!$CS$27</f>
        <v>3.1596019627993938E-2</v>
      </c>
      <c r="P40" s="237">
        <f>Multiplex_EEM_Savings_16CTZ!$CW$27</f>
        <v>149.35862987858556</v>
      </c>
      <c r="Q40" s="234">
        <f>Multiplex_EEM_Savings_16CTZ!$CS$29</f>
        <v>8.1772627419977612E-3</v>
      </c>
      <c r="R40" s="235">
        <f>Multiplex_EEM_Savings_16CTZ!$CW$29</f>
        <v>39.014638297244346</v>
      </c>
      <c r="S40" s="236">
        <f>Multiplex_EEM_Savings_16CTZ!$CS$30</f>
        <v>8.6159611251800262E-3</v>
      </c>
      <c r="T40" s="239">
        <f>Multiplex_EEM_Savings_16CTZ!$CW$30</f>
        <v>41.121469337846982</v>
      </c>
      <c r="U40" s="234">
        <f>Multiplex_EEM_Savings_16CTZ!$CS$32</f>
        <v>3.2463641959986564E-2</v>
      </c>
      <c r="V40" s="235">
        <f>Multiplex_EEM_Savings_16CTZ!$CW$32</f>
        <v>73.553002791915361</v>
      </c>
      <c r="W40" s="236">
        <f>Multiplex_EEM_Savings_16CTZ!$CS$33</f>
        <v>3.1101729647742764E-2</v>
      </c>
      <c r="X40" s="237">
        <f>Multiplex_EEM_Savings_16CTZ!$CW$33</f>
        <v>64.461221047251684</v>
      </c>
      <c r="Y40" s="238">
        <f>Multiplex_EEM_Savings_16CTZ!$CS$37</f>
        <v>5.5833695523694341E-2</v>
      </c>
      <c r="Z40" s="235">
        <f>Multiplex_EEM_Savings_16CTZ!$CW$37</f>
        <v>256.274549212203</v>
      </c>
      <c r="AA40" s="236">
        <f>Multiplex_EEM_Savings_16CTZ!$CS$38</f>
        <v>5.9797132582154529E-2</v>
      </c>
      <c r="AB40" s="235">
        <f>Multiplex_EEM_Savings_16CTZ!$CW$38</f>
        <v>268.46705545942575</v>
      </c>
      <c r="AC40" s="234">
        <f>Multiplex_EEM_Savings_16CTZ!$CS$39</f>
        <v>1.7928432378299781E-2</v>
      </c>
      <c r="AD40" s="235">
        <f>Multiplex_EEM_Savings_16CTZ!$CW$39</f>
        <v>83.461652133194377</v>
      </c>
      <c r="AE40" s="238">
        <f>Multiplex_EEM_Savings_16CTZ!$CS$40</f>
        <v>1.9160585537561007E-2</v>
      </c>
      <c r="AF40" s="237">
        <f>Multiplex_EEM_Savings_16CTZ!$CW$40</f>
        <v>87.924400437106598</v>
      </c>
      <c r="AG40" s="236">
        <f>Multiplex_EEM_Savings_16CTZ!$CS$42</f>
        <v>1.9311480712121618E-2</v>
      </c>
      <c r="AH40" s="235">
        <f>Multiplex_EEM_Savings_16CTZ!$CW$42</f>
        <v>87.622173030417102</v>
      </c>
      <c r="AI40" s="236">
        <f>Multiplex_EEM_Savings_16CTZ!$CS$43</f>
        <v>2.152334488172148E-2</v>
      </c>
      <c r="AJ40" s="235">
        <f>Multiplex_EEM_Savings_16CTZ!$CW$43</f>
        <v>94.665573091360059</v>
      </c>
      <c r="AK40" s="238">
        <f>Multiplex_EEM_Savings_16CTZ!$CS$45</f>
        <v>-1.8536358040013436E-2</v>
      </c>
      <c r="AL40" s="235">
        <f>Multiplex_EEM_Savings_16CTZ!$CW$45</f>
        <v>-183.19262410525542</v>
      </c>
      <c r="AM40" s="236">
        <f>Multiplex_EEM_Savings_16CTZ!$CS$46</f>
        <v>-1.9898270352257233E-2</v>
      </c>
      <c r="AN40" s="237">
        <f>Multiplex_EEM_Savings_16CTZ!$CW$46</f>
        <v>-202.43211689222878</v>
      </c>
      <c r="AO40" s="230">
        <f>'Cooling Load'!$C$19+Multiplex_EEM_Savings_16CTZ!$CO$21</f>
        <v>7.8281492418400322E-2</v>
      </c>
      <c r="AP40" s="230">
        <f>'Cooling Load'!$G$19+Multiplex_EEM_Savings_16CTZ!$CQ$21</f>
        <v>1.7484205518088922E-2</v>
      </c>
      <c r="AQ40" s="230">
        <f>'Cooling Load'!$C$19+Multiplex_EEM_Savings_16CTZ!$CO$22</f>
        <v>8.127590556587537E-2</v>
      </c>
      <c r="AR40" s="230">
        <f>'Cooling Load'!$G$19+Multiplex_EEM_Savings_16CTZ!$CQ$22</f>
        <v>1.8906899091445203E-2</v>
      </c>
      <c r="AS40" s="230">
        <f>'Cooling Load'!$D$19+Multiplex_EEM_Savings_16CTZ!$CO$24</f>
        <v>6.3566731405481233E-2</v>
      </c>
      <c r="AT40" s="230">
        <f>'Cooling Load'!$H$19+Multiplex_EEM_Savings_16CTZ!$CQ$24</f>
        <v>1.7484205518088922E-2</v>
      </c>
      <c r="AU40" s="230">
        <f>'Cooling Load'!$D$19+Multiplex_EEM_Savings_16CTZ!$CO$25</f>
        <v>6.8159407261218746E-2</v>
      </c>
      <c r="AV40" s="230">
        <f>'Cooling Load'!$H$19+Multiplex_EEM_Savings_16CTZ!$CQ$25</f>
        <v>1.8906899091445203E-2</v>
      </c>
      <c r="AW40" s="230">
        <f>'Cooling Load'!$E$19+Multiplex_EEM_Savings_16CTZ!$CO$26</f>
        <v>4.864973372501874E-2</v>
      </c>
      <c r="AX40" s="230">
        <f>'Cooling Load'!$G$19+Multiplex_EEM_Savings_16CTZ!$CQ$26</f>
        <v>1.7484205518088922E-2</v>
      </c>
      <c r="AY40" s="230">
        <f>'Cooling Load'!$E$19+Multiplex_EEM_Savings_16CTZ!$CO$27</f>
        <v>5.0502918719439141E-2</v>
      </c>
      <c r="AZ40" s="230">
        <f>'Cooling Load'!$G$19+Multiplex_EEM_Savings_16CTZ!$CQ$27</f>
        <v>1.8906899091445203E-2</v>
      </c>
      <c r="BA40" s="230">
        <f>'Cooling Load'!$F$19+Multiplex_EEM_Savings_16CTZ!$CO$29</f>
        <v>2.5661468260086685E-2</v>
      </c>
      <c r="BB40" s="230">
        <f>'Cooling Load'!$H$19+Multiplex_EEM_Savings_16CTZ!$CQ$29</f>
        <v>1.7484205518088922E-2</v>
      </c>
      <c r="BC40" s="230">
        <f>'Cooling Load'!$F$19+Multiplex_EEM_Savings_16CTZ!$CO$38</f>
        <v>3.4159407261218744E-2</v>
      </c>
      <c r="BD40" s="230">
        <f>'Cooling Load'!$H$19+Multiplex_EEM_Savings_16CTZ!$CQ$38</f>
        <v>1.6978941345730889E-2</v>
      </c>
      <c r="BE40" s="230">
        <f>'Cooling Load'!$D$19+Multiplex_EEM_Savings_16CTZ!$CO$37</f>
        <v>6.3566731405481233E-2</v>
      </c>
      <c r="BF40" s="230">
        <f>'Cooling Load'!$I$19+Multiplex_EEM_Savings_16CTZ!$CQ$37</f>
        <v>7.7330358817869023E-3</v>
      </c>
      <c r="BG40" s="230">
        <f>'Cooling Load'!$D$19+Multiplex_EEM_Savings_16CTZ!$CO$27</f>
        <v>6.1502918719439144E-2</v>
      </c>
      <c r="BH40" s="230">
        <f>'Cooling Load'!$I$19+Multiplex_EEM_Savings_16CTZ!$CQ$27</f>
        <v>1.0290232424778539E-2</v>
      </c>
      <c r="BI40" s="230">
        <f>'Cooling Load'!$F$19+Multiplex_EEM_Savings_16CTZ!$CO$39</f>
        <v>2.5661468260086685E-2</v>
      </c>
      <c r="BJ40" s="230">
        <f>'Cooling Load'!$I$19+Multiplex_EEM_Savings_16CTZ!$CQ$39</f>
        <v>7.7330358817869023E-3</v>
      </c>
      <c r="BK40" s="230">
        <f>'Cooling Load'!$F$19+Multiplex_EEM_Savings_16CTZ!$CO$38</f>
        <v>3.4159407261218744E-2</v>
      </c>
      <c r="BL40" s="230">
        <f>'Cooling Load'!$I$19+Multiplex_EEM_Savings_16CTZ!$CQ$38</f>
        <v>8.3622746790642227E-3</v>
      </c>
    </row>
    <row r="41" spans="2:64" s="240" customFormat="1" x14ac:dyDescent="0.25">
      <c r="B41" s="231">
        <v>9</v>
      </c>
      <c r="C41" s="232" t="s">
        <v>223</v>
      </c>
      <c r="D41" s="233" t="str">
        <f t="shared" si="3"/>
        <v>/Fixture</v>
      </c>
      <c r="E41" s="234">
        <f>Multiplex_EEM_Savings_16CTZ!$DD$21</f>
        <v>6.0861359803390074E-2</v>
      </c>
      <c r="F41" s="235">
        <f>Multiplex_EEM_Savings_16CTZ!$DH$21</f>
        <v>286.33147923031936</v>
      </c>
      <c r="G41" s="236">
        <f>Multiplex_EEM_Savings_16CTZ!$DD$22</f>
        <v>6.2479787913569319E-2</v>
      </c>
      <c r="H41" s="237">
        <f>Multiplex_EEM_Savings_16CTZ!$DH$22</f>
        <v>292.78129649554967</v>
      </c>
      <c r="I41" s="234">
        <f>Multiplex_EEM_Savings_16CTZ!$DD$24</f>
        <v>4.621175375404532E-2</v>
      </c>
      <c r="J41" s="235">
        <f>Multiplex_EEM_Savings_16CTZ!$DH$24</f>
        <v>214.57816644134823</v>
      </c>
      <c r="K41" s="238">
        <f>Multiplex_EEM_Savings_16CTZ!$DD$25</f>
        <v>4.9475941920342381E-2</v>
      </c>
      <c r="L41" s="237">
        <f>Multiplex_EEM_Savings_16CTZ!$DH$25</f>
        <v>226.10716354335131</v>
      </c>
      <c r="M41" s="234">
        <f>Multiplex_EEM_Savings_16CTZ!$DD$26</f>
        <v>3.1183077670302452E-2</v>
      </c>
      <c r="N41" s="235">
        <f>Multiplex_EEM_Savings_16CTZ!$DH$26</f>
        <v>147.39662883979909</v>
      </c>
      <c r="O41" s="238">
        <f>Multiplex_EEM_Savings_16CTZ!$DD$27</f>
        <v>3.1626362483009457E-2</v>
      </c>
      <c r="P41" s="237">
        <f>Multiplex_EEM_Savings_16CTZ!$DH$27</f>
        <v>149.53789716652167</v>
      </c>
      <c r="Q41" s="234">
        <f>Multiplex_EEM_Savings_16CTZ!$DD$29</f>
        <v>8.1951467713432449E-3</v>
      </c>
      <c r="R41" s="235">
        <f>Multiplex_EEM_Savings_16CTZ!$DH$29</f>
        <v>39.125555206263115</v>
      </c>
      <c r="S41" s="236">
        <f>Multiplex_EEM_Savings_16CTZ!$DD$30</f>
        <v>8.6468824415759232E-3</v>
      </c>
      <c r="T41" s="239">
        <f>Multiplex_EEM_Savings_16CTZ!$DH$30</f>
        <v>41.302811132952364</v>
      </c>
      <c r="U41" s="234">
        <f>Multiplex_EEM_Savings_16CTZ!$DD$32</f>
        <v>3.2317728708388525E-2</v>
      </c>
      <c r="V41" s="235">
        <f>Multiplex_EEM_Savings_16CTZ!$DH$32</f>
        <v>72.672135416960543</v>
      </c>
      <c r="W41" s="236">
        <f>Multiplex_EEM_Savings_16CTZ!$DD$33</f>
        <v>3.0861418636364418E-2</v>
      </c>
      <c r="X41" s="237">
        <f>Multiplex_EEM_Savings_16CTZ!$DH$33</f>
        <v>63.098536485202516</v>
      </c>
      <c r="Y41" s="238">
        <f>Multiplex_EEM_Savings_16CTZ!$DD$37</f>
        <v>5.5995269460092978E-2</v>
      </c>
      <c r="Z41" s="235">
        <f>Multiplex_EEM_Savings_16CTZ!$DH$37</f>
        <v>256.75657077221763</v>
      </c>
      <c r="AA41" s="236">
        <f>Multiplex_EEM_Savings_16CTZ!$DD$38</f>
        <v>6.0076492379222565E-2</v>
      </c>
      <c r="AB41" s="235">
        <f>Multiplex_EEM_Savings_16CTZ!$DH$38</f>
        <v>269.25899954643279</v>
      </c>
      <c r="AC41" s="234">
        <f>Multiplex_EEM_Savings_16CTZ!$DD$39</f>
        <v>1.7978662477390897E-2</v>
      </c>
      <c r="AD41" s="235">
        <f>Multiplex_EEM_Savings_16CTZ!$DH$39</f>
        <v>83.642749720723273</v>
      </c>
      <c r="AE41" s="238">
        <f>Multiplex_EEM_Savings_16CTZ!$DD$40</f>
        <v>1.92474329004561E-2</v>
      </c>
      <c r="AF41" s="237">
        <f>Multiplex_EEM_Savings_16CTZ!$DH$40</f>
        <v>88.221786810415026</v>
      </c>
      <c r="AG41" s="236">
        <f>Multiplex_EEM_Savings_16CTZ!$DD$42</f>
        <v>1.9548456536613416E-2</v>
      </c>
      <c r="AH41" s="235">
        <f>Multiplex_EEM_Savings_16CTZ!$DH$42</f>
        <v>88.438253367527125</v>
      </c>
      <c r="AI41" s="236">
        <f>Multiplex_EEM_Savings_16CTZ!$DD$43</f>
        <v>2.1913630886811149E-2</v>
      </c>
      <c r="AJ41" s="235">
        <f>Multiplex_EEM_Savings_16CTZ!$DH$43</f>
        <v>95.936449894678759</v>
      </c>
      <c r="AK41" s="238">
        <f>Multiplex_EEM_Savings_16CTZ!$DD$45</f>
        <v>-1.8682271291611471E-2</v>
      </c>
      <c r="AL41" s="235">
        <f>Multiplex_EEM_Savings_16CTZ!$DH$45</f>
        <v>-185.14073294320752</v>
      </c>
      <c r="AM41" s="236">
        <f>Multiplex_EEM_Savings_16CTZ!$DD$46</f>
        <v>-2.0138581363635579E-2</v>
      </c>
      <c r="AN41" s="237">
        <f>Multiplex_EEM_Savings_16CTZ!$DH$46</f>
        <v>-205.45109637985837</v>
      </c>
      <c r="AO41" s="230">
        <f>'Cooling Load'!$C$19+Multiplex_EEM_Savings_16CTZ!$CZ$21</f>
        <v>7.8403563013266619E-2</v>
      </c>
      <c r="AP41" s="230">
        <f>'Cooling Load'!$G$19+Multiplex_EEM_Savings_16CTZ!$DB$21</f>
        <v>1.7542203209876546E-2</v>
      </c>
      <c r="AQ41" s="230">
        <f>'Cooling Load'!$C$19+Multiplex_EEM_Savings_16CTZ!$CZ$22</f>
        <v>8.1486964461696842E-2</v>
      </c>
      <c r="AR41" s="230">
        <f>'Cooling Load'!$G$19+Multiplex_EEM_Savings_16CTZ!$DB$22</f>
        <v>1.9007176548127516E-2</v>
      </c>
      <c r="AS41" s="230">
        <f>'Cooling Load'!$D$19+Multiplex_EEM_Savings_16CTZ!$CZ$24</f>
        <v>6.3753956963921873E-2</v>
      </c>
      <c r="AT41" s="230">
        <f>'Cooling Load'!$H$19+Multiplex_EEM_Savings_16CTZ!$DB$24</f>
        <v>1.7542203209876546E-2</v>
      </c>
      <c r="AU41" s="230">
        <f>'Cooling Load'!$D$19+Multiplex_EEM_Savings_16CTZ!$CZ$25</f>
        <v>6.8483118468469897E-2</v>
      </c>
      <c r="AV41" s="230">
        <f>'Cooling Load'!$H$19+Multiplex_EEM_Savings_16CTZ!$DB$25</f>
        <v>1.9007176548127516E-2</v>
      </c>
      <c r="AW41" s="230">
        <f>'Cooling Load'!$E$19+Multiplex_EEM_Savings_16CTZ!$CZ$26</f>
        <v>4.8725280880178995E-2</v>
      </c>
      <c r="AX41" s="230">
        <f>'Cooling Load'!$G$19+Multiplex_EEM_Savings_16CTZ!$DB$26</f>
        <v>1.7542203209876546E-2</v>
      </c>
      <c r="AY41" s="230">
        <f>'Cooling Load'!$E$19+Multiplex_EEM_Savings_16CTZ!$CZ$27</f>
        <v>5.0633539031136973E-2</v>
      </c>
      <c r="AZ41" s="230">
        <f>'Cooling Load'!$G$19+Multiplex_EEM_Savings_16CTZ!$DB$27</f>
        <v>1.9007176548127516E-2</v>
      </c>
      <c r="BA41" s="230">
        <f>'Cooling Load'!$F$19+Multiplex_EEM_Savings_16CTZ!$CZ$29</f>
        <v>2.5737349981219793E-2</v>
      </c>
      <c r="BB41" s="230">
        <f>'Cooling Load'!$H$19+Multiplex_EEM_Savings_16CTZ!$DB$29</f>
        <v>1.7542203209876546E-2</v>
      </c>
      <c r="BC41" s="230">
        <f>'Cooling Load'!$F$19+Multiplex_EEM_Savings_16CTZ!$CZ$38</f>
        <v>3.4483118468469895E-2</v>
      </c>
      <c r="BD41" s="230">
        <f>'Cooling Load'!$H$19+Multiplex_EEM_Savings_16CTZ!$DB$38</f>
        <v>1.7023292755914004E-2</v>
      </c>
      <c r="BE41" s="230">
        <f>'Cooling Load'!$D$19+Multiplex_EEM_Savings_16CTZ!$CZ$37</f>
        <v>6.3753956963921873E-2</v>
      </c>
      <c r="BF41" s="230">
        <f>'Cooling Load'!$I$19+Multiplex_EEM_Savings_16CTZ!$DB$37</f>
        <v>7.7586875038288938E-3</v>
      </c>
      <c r="BG41" s="230">
        <f>'Cooling Load'!$D$19+Multiplex_EEM_Savings_16CTZ!$CZ$27</f>
        <v>6.1633539031136976E-2</v>
      </c>
      <c r="BH41" s="230">
        <f>'Cooling Load'!$I$19+Multiplex_EEM_Savings_16CTZ!$DB$27</f>
        <v>1.039050988146085E-2</v>
      </c>
      <c r="BI41" s="230">
        <f>'Cooling Load'!$F$19+Multiplex_EEM_Savings_16CTZ!$CZ$39</f>
        <v>2.5737349981219793E-2</v>
      </c>
      <c r="BJ41" s="230">
        <f>'Cooling Load'!$I$19+Multiplex_EEM_Savings_16CTZ!$DB$39</f>
        <v>7.7586875038288938E-3</v>
      </c>
      <c r="BK41" s="230">
        <f>'Cooling Load'!$F$19+Multiplex_EEM_Savings_16CTZ!$CZ$38</f>
        <v>3.4483118468469895E-2</v>
      </c>
      <c r="BL41" s="230">
        <f>'Cooling Load'!$I$19+Multiplex_EEM_Savings_16CTZ!$DB$38</f>
        <v>8.4066260892473373E-3</v>
      </c>
    </row>
    <row r="42" spans="2:64" s="240" customFormat="1" ht="15.6" x14ac:dyDescent="0.25">
      <c r="B42" s="231">
        <v>10</v>
      </c>
      <c r="C42" s="232" t="s">
        <v>55</v>
      </c>
      <c r="D42" s="233" t="str">
        <f t="shared" si="3"/>
        <v>/Fixture</v>
      </c>
      <c r="E42" s="234">
        <f>Multiplex_EEM_Savings_16CTZ!$DO$21</f>
        <v>6.0991662613203788E-2</v>
      </c>
      <c r="F42" s="235">
        <f>Multiplex_EEM_Savings_16CTZ!$DS$21</f>
        <v>286.81682003770578</v>
      </c>
      <c r="G42" s="236">
        <f>Multiplex_EEM_Savings_16CTZ!$DO$22</f>
        <v>6.271348521754494E-2</v>
      </c>
      <c r="H42" s="237">
        <f>Multiplex_EEM_Savings_16CTZ!$DS$22</f>
        <v>293.61514446173794</v>
      </c>
      <c r="I42" s="234">
        <f>Multiplex_EEM_Savings_16CTZ!$DO$24</f>
        <v>4.6474559922051198E-2</v>
      </c>
      <c r="J42" s="235">
        <f>Multiplex_EEM_Savings_16CTZ!$DS$24</f>
        <v>215.44327747609006</v>
      </c>
      <c r="K42" s="238">
        <f>Multiplex_EEM_Savings_16CTZ!$DO$25</f>
        <v>4.9947283198546112E-2</v>
      </c>
      <c r="L42" s="237">
        <f>Multiplex_EEM_Savings_16CTZ!$DS$25</f>
        <v>227.59373173196821</v>
      </c>
      <c r="M42" s="234">
        <f>Multiplex_EEM_Savings_16CTZ!$DO$26</f>
        <v>3.1218767396821768E-2</v>
      </c>
      <c r="N42" s="235">
        <f>Multiplex_EEM_Savings_16CTZ!$DS$26</f>
        <v>147.56050612651143</v>
      </c>
      <c r="O42" s="238">
        <f>Multiplex_EEM_Savings_16CTZ!$DO$27</f>
        <v>3.1690371792395151E-2</v>
      </c>
      <c r="P42" s="237">
        <f>Multiplex_EEM_Savings_16CTZ!$DS$27</f>
        <v>149.81916712864114</v>
      </c>
      <c r="Q42" s="234">
        <f>Multiplex_EEM_Savings_16CTZ!$DO$29</f>
        <v>8.2315168929162578E-3</v>
      </c>
      <c r="R42" s="235">
        <f>Multiplex_EEM_Savings_16CTZ!$DS$29</f>
        <v>39.292113308693686</v>
      </c>
      <c r="S42" s="236">
        <f>Multiplex_EEM_Savings_16CTZ!$DO$30</f>
        <v>8.7121120353892082E-3</v>
      </c>
      <c r="T42" s="239">
        <f>Multiplex_EEM_Savings_16CTZ!$DS$30</f>
        <v>41.58868970797792</v>
      </c>
      <c r="U42" s="234">
        <f>Multiplex_EEM_Savings_16CTZ!$DO$32</f>
        <v>3.2137625773295431E-2</v>
      </c>
      <c r="V42" s="235">
        <f>Multiplex_EEM_Savings_16CTZ!$DS$32</f>
        <v>71.506974741039073</v>
      </c>
      <c r="W42" s="236">
        <f>Multiplex_EEM_Savings_16CTZ!$DO$33</f>
        <v>3.0542234558328413E-2</v>
      </c>
      <c r="X42" s="237">
        <f>Multiplex_EEM_Savings_16CTZ!$DS$33</f>
        <v>61.130060126855632</v>
      </c>
      <c r="Y42" s="238">
        <f>Multiplex_EEM_Savings_16CTZ!$DO$37</f>
        <v>5.6323856692663869E-2</v>
      </c>
      <c r="Z42" s="235">
        <f>Multiplex_EEM_Savings_16CTZ!$DS$37</f>
        <v>257.69348493421785</v>
      </c>
      <c r="AA42" s="236">
        <f>Multiplex_EEM_Savings_16CTZ!$DO$38</f>
        <v>6.0665811600215606E-2</v>
      </c>
      <c r="AB42" s="235">
        <f>Multiplex_EEM_Savings_16CTZ!$DS$38</f>
        <v>270.86907875306622</v>
      </c>
      <c r="AC42" s="234">
        <f>Multiplex_EEM_Savings_16CTZ!$DO$39</f>
        <v>1.8080813663528924E-2</v>
      </c>
      <c r="AD42" s="235">
        <f>Multiplex_EEM_Savings_16CTZ!$DS$39</f>
        <v>83.986470127830032</v>
      </c>
      <c r="AE42" s="238">
        <f>Multiplex_EEM_Savings_16CTZ!$DO$40</f>
        <v>1.9430640437058701E-2</v>
      </c>
      <c r="AF42" s="237">
        <f>Multiplex_EEM_Savings_16CTZ!$DS$40</f>
        <v>88.812408332442928</v>
      </c>
      <c r="AG42" s="236">
        <f>Multiplex_EEM_Savings_16CTZ!$DO$42</f>
        <v>1.984095938381646E-2</v>
      </c>
      <c r="AH42" s="235">
        <f>Multiplex_EEM_Savings_16CTZ!$DS$42</f>
        <v>89.367915716082706</v>
      </c>
      <c r="AI42" s="236">
        <f>Multiplex_EEM_Savings_16CTZ!$DO$43</f>
        <v>2.2432013619214427E-2</v>
      </c>
      <c r="AJ42" s="235">
        <f>Multiplex_EEM_Savings_16CTZ!$DS$43</f>
        <v>97.505799695789804</v>
      </c>
      <c r="AK42" s="238">
        <f>Multiplex_EEM_Savings_16CTZ!$DO$45</f>
        <v>-1.886237422670457E-2</v>
      </c>
      <c r="AL42" s="235">
        <f>Multiplex_EEM_Savings_16CTZ!$DS$45</f>
        <v>-187.62336614551748</v>
      </c>
      <c r="AM42" s="236">
        <f>Multiplex_EEM_Savings_16CTZ!$DO$46</f>
        <v>-2.0457765441671584E-2</v>
      </c>
      <c r="AN42" s="237">
        <f>Multiplex_EEM_Savings_16CTZ!$DS$46</f>
        <v>-209.64457633696412</v>
      </c>
      <c r="AO42" s="230">
        <f>'Cooling Load'!$C$19+Multiplex_EEM_Savings_16CTZ!$DK$21</f>
        <v>7.8651813689331343E-2</v>
      </c>
      <c r="AP42" s="230">
        <f>'Cooling Load'!$G$19+Multiplex_EEM_Savings_16CTZ!$DM$21</f>
        <v>1.7660151076127548E-2</v>
      </c>
      <c r="AQ42" s="230">
        <f>'Cooling Load'!$C$19+Multiplex_EEM_Savings_16CTZ!$DK$22</f>
        <v>8.1932200552840131E-2</v>
      </c>
      <c r="AR42" s="230">
        <f>'Cooling Load'!$G$19+Multiplex_EEM_Savings_16CTZ!$DM$22</f>
        <v>1.9218715335295202E-2</v>
      </c>
      <c r="AS42" s="230">
        <f>'Cooling Load'!$D$19+Multiplex_EEM_Savings_16CTZ!$DK$24</f>
        <v>6.4134710998178746E-2</v>
      </c>
      <c r="AT42" s="230">
        <f>'Cooling Load'!$H$19+Multiplex_EEM_Savings_16CTZ!$DM$24</f>
        <v>1.7660151076127548E-2</v>
      </c>
      <c r="AU42" s="230">
        <f>'Cooling Load'!$D$19+Multiplex_EEM_Savings_16CTZ!$DK$25</f>
        <v>6.9165998533841311E-2</v>
      </c>
      <c r="AV42" s="230">
        <f>'Cooling Load'!$H$19+Multiplex_EEM_Savings_16CTZ!$DM$25</f>
        <v>1.9218715335295202E-2</v>
      </c>
      <c r="AW42" s="230">
        <f>'Cooling Load'!$E$19+Multiplex_EEM_Savings_16CTZ!$DK$26</f>
        <v>4.8878918472949319E-2</v>
      </c>
      <c r="AX42" s="230">
        <f>'Cooling Load'!$G$19+Multiplex_EEM_Savings_16CTZ!$DM$26</f>
        <v>1.7660151076127548E-2</v>
      </c>
      <c r="AY42" s="230">
        <f>'Cooling Load'!$E$19+Multiplex_EEM_Savings_16CTZ!$DK$27</f>
        <v>5.090908712769035E-2</v>
      </c>
      <c r="AZ42" s="230">
        <f>'Cooling Load'!$G$19+Multiplex_EEM_Savings_16CTZ!$DM$27</f>
        <v>1.9218715335295202E-2</v>
      </c>
      <c r="BA42" s="230">
        <f>'Cooling Load'!$F$19+Multiplex_EEM_Savings_16CTZ!$DK$29</f>
        <v>2.5891667969043807E-2</v>
      </c>
      <c r="BB42" s="230">
        <f>'Cooling Load'!$H$19+Multiplex_EEM_Savings_16CTZ!$DM$29</f>
        <v>1.7660151076127548E-2</v>
      </c>
      <c r="BC42" s="230">
        <f>'Cooling Load'!$F$19+Multiplex_EEM_Savings_16CTZ!$DK$38</f>
        <v>3.5165998533841308E-2</v>
      </c>
      <c r="BD42" s="230">
        <f>'Cooling Load'!$H$19+Multiplex_EEM_Savings_16CTZ!$DM$38</f>
        <v>1.7116853600292376E-2</v>
      </c>
      <c r="BE42" s="230">
        <f>'Cooling Load'!$D$19+Multiplex_EEM_Savings_16CTZ!$DK$37</f>
        <v>6.4134710998178746E-2</v>
      </c>
      <c r="BF42" s="230">
        <f>'Cooling Load'!$I$19+Multiplex_EEM_Savings_16CTZ!$DM$37</f>
        <v>7.8108543055148815E-3</v>
      </c>
      <c r="BG42" s="230">
        <f>'Cooling Load'!$D$19+Multiplex_EEM_Savings_16CTZ!$DK$27</f>
        <v>6.1909087127690353E-2</v>
      </c>
      <c r="BH42" s="230">
        <f>'Cooling Load'!$I$19+Multiplex_EEM_Savings_16CTZ!$DM$27</f>
        <v>1.0602048668628536E-2</v>
      </c>
      <c r="BI42" s="230">
        <f>'Cooling Load'!$F$19+Multiplex_EEM_Savings_16CTZ!$DK$39</f>
        <v>2.5891667969043807E-2</v>
      </c>
      <c r="BJ42" s="230">
        <f>'Cooling Load'!$I$19+Multiplex_EEM_Savings_16CTZ!$DM$39</f>
        <v>7.8108543055148815E-3</v>
      </c>
      <c r="BK42" s="230">
        <f>'Cooling Load'!$F$19+Multiplex_EEM_Savings_16CTZ!$DK$38</f>
        <v>3.5165998533841308E-2</v>
      </c>
      <c r="BL42" s="230">
        <f>'Cooling Load'!$I$19+Multiplex_EEM_Savings_16CTZ!$DM$38</f>
        <v>8.5001869336257096E-3</v>
      </c>
    </row>
    <row r="43" spans="2:64" ht="15.6" x14ac:dyDescent="0.25">
      <c r="B43" s="70">
        <v>11</v>
      </c>
      <c r="C43" s="66" t="s">
        <v>56</v>
      </c>
      <c r="D43" s="105" t="str">
        <f t="shared" si="3"/>
        <v>/Fixture</v>
      </c>
      <c r="E43" s="71">
        <f>Multiplex_EEM_Savings_16CTZ!$DZ$21</f>
        <v>6.1125619743795274E-2</v>
      </c>
      <c r="F43" s="68">
        <f>Multiplex_EEM_Savings_16CTZ!$ED$21</f>
        <v>287.38203215714225</v>
      </c>
      <c r="G43" s="67">
        <f>Multiplex_EEM_Savings_16CTZ!$DZ$22</f>
        <v>6.2963011988531228E-2</v>
      </c>
      <c r="H43" s="100">
        <f>Multiplex_EEM_Savings_16CTZ!$ED$22</f>
        <v>294.61834905777567</v>
      </c>
      <c r="I43" s="71">
        <f>Multiplex_EEM_Savings_16CTZ!$DZ$24</f>
        <v>4.6744736445628383E-2</v>
      </c>
      <c r="J43" s="68">
        <f>Multiplex_EEM_Savings_16CTZ!$ED$24</f>
        <v>216.35797421983878</v>
      </c>
      <c r="K43" s="104">
        <f>Multiplex_EEM_Savings_16CTZ!$DZ$25</f>
        <v>5.0450550738145111E-2</v>
      </c>
      <c r="L43" s="100">
        <f>Multiplex_EEM_Savings_16CTZ!$ED$25</f>
        <v>229.2317300514041</v>
      </c>
      <c r="M43" s="71">
        <f>Multiplex_EEM_Savings_16CTZ!$DZ$26</f>
        <v>3.1255458035826078E-2</v>
      </c>
      <c r="N43" s="68">
        <f>Multiplex_EEM_Savings_16CTZ!$ED$26</f>
        <v>147.85625656067327</v>
      </c>
      <c r="O43" s="104">
        <f>Multiplex_EEM_Savings_16CTZ!$DZ$27</f>
        <v>3.1758716766908598E-2</v>
      </c>
      <c r="P43" s="100">
        <f>Multiplex_EEM_Savings_16CTZ!$ED$27</f>
        <v>150.32771948524055</v>
      </c>
      <c r="Q43" s="71">
        <f>Multiplex_EEM_Savings_16CTZ!$DZ$29</f>
        <v>8.2689070085411563E-3</v>
      </c>
      <c r="R43" s="68">
        <f>Multiplex_EEM_Savings_16CTZ!$ED$29</f>
        <v>39.589947677411786</v>
      </c>
      <c r="S43" s="67">
        <f>Multiplex_EEM_Savings_16CTZ!$DZ$30</f>
        <v>8.781759950192175E-3</v>
      </c>
      <c r="T43" s="113">
        <f>Multiplex_EEM_Savings_16CTZ!$ED$30</f>
        <v>42.101102961112879</v>
      </c>
      <c r="U43" s="71">
        <f>Multiplex_EEM_Savings_16CTZ!$DZ$32</f>
        <v>3.2013504955744877E-2</v>
      </c>
      <c r="V43" s="68">
        <f>Multiplex_EEM_Savings_16CTZ!$ED$32</f>
        <v>71.595817848643037</v>
      </c>
      <c r="W43" s="67">
        <f>Multiplex_EEM_Savings_16CTZ!$DZ$33</f>
        <v>3.0311030241851829E-2</v>
      </c>
      <c r="X43" s="100">
        <f>Multiplex_EEM_Savings_16CTZ!$ED$33</f>
        <v>61.143379400396384</v>
      </c>
      <c r="Y43" s="104">
        <f>Multiplex_EEM_Savings_16CTZ!$DZ$37</f>
        <v>5.666165909989606E-2</v>
      </c>
      <c r="Z43" s="68">
        <f>Multiplex_EEM_Savings_16CTZ!$ED$37</f>
        <v>258.6366147448669</v>
      </c>
      <c r="AA43" s="67">
        <f>Multiplex_EEM_Savings_16CTZ!$DZ$38</f>
        <v>6.1295048308525661E-2</v>
      </c>
      <c r="AB43" s="68">
        <f>Multiplex_EEM_Savings_16CTZ!$ED$38</f>
        <v>272.56616041944346</v>
      </c>
      <c r="AC43" s="71">
        <f>Multiplex_EEM_Savings_16CTZ!$DZ$39</f>
        <v>1.8185829662808826E-2</v>
      </c>
      <c r="AD43" s="68">
        <f>Multiplex_EEM_Savings_16CTZ!$ED$39</f>
        <v>84.354458372199602</v>
      </c>
      <c r="AE43" s="104">
        <f>Multiplex_EEM_Savings_16CTZ!$DZ$40</f>
        <v>1.9626257520572721E-2</v>
      </c>
      <c r="AF43" s="100">
        <f>Multiplex_EEM_Savings_16CTZ!$ED$40</f>
        <v>89.470599942479254</v>
      </c>
      <c r="AG43" s="67">
        <f>Multiplex_EEM_Savings_16CTZ!$DZ$42</f>
        <v>2.0042542398062944E-2</v>
      </c>
      <c r="AH43" s="68">
        <f>Multiplex_EEM_Savings_16CTZ!$ED$42</f>
        <v>89.970281592762817</v>
      </c>
      <c r="AI43" s="67">
        <f>Multiplex_EEM_Savings_16CTZ!$DZ$43</f>
        <v>2.2807509558911775E-2</v>
      </c>
      <c r="AJ43" s="68">
        <f>Multiplex_EEM_Savings_16CTZ!$ED$43</f>
        <v>98.586209059680982</v>
      </c>
      <c r="AK43" s="104">
        <f>Multiplex_EEM_Savings_16CTZ!$DZ$45</f>
        <v>-1.8986495044255119E-2</v>
      </c>
      <c r="AL43" s="68">
        <f>Multiplex_EEM_Savings_16CTZ!$ED$45</f>
        <v>-187.85748690265416</v>
      </c>
      <c r="AM43" s="67">
        <f>Multiplex_EEM_Savings_16CTZ!$DZ$46</f>
        <v>-2.0688969758148167E-2</v>
      </c>
      <c r="AN43" s="100">
        <f>Multiplex_EEM_Savings_16CTZ!$ED$46</f>
        <v>-210.30236954442597</v>
      </c>
      <c r="AO43" s="164">
        <f>'Cooling Load'!$C$19+Multiplex_EEM_Savings_16CTZ!$DV$21</f>
        <v>7.8907026514600159E-2</v>
      </c>
      <c r="AP43" s="164">
        <f>'Cooling Load'!$G$19+Multiplex_EEM_Savings_16CTZ!$DX$21</f>
        <v>1.7781406770804892E-2</v>
      </c>
      <c r="AQ43" s="159">
        <f>'Cooling Load'!$C$19+Multiplex_EEM_Savings_16CTZ!$DV$22</f>
        <v>8.2407594672753215E-2</v>
      </c>
      <c r="AR43" s="159">
        <f>'Cooling Load'!$G$19+Multiplex_EEM_Savings_16CTZ!$DX$22</f>
        <v>1.9444582684221987E-2</v>
      </c>
      <c r="AS43" s="164">
        <f>'Cooling Load'!$D$19+Multiplex_EEM_Savings_16CTZ!$DV$24</f>
        <v>6.4526143216433282E-2</v>
      </c>
      <c r="AT43" s="164">
        <f>'Cooling Load'!$H$19+Multiplex_EEM_Savings_16CTZ!$DX$24</f>
        <v>1.7781406770804892E-2</v>
      </c>
      <c r="AU43" s="159">
        <f>'Cooling Load'!$D$19+Multiplex_EEM_Savings_16CTZ!$DV$25</f>
        <v>6.9895133422367098E-2</v>
      </c>
      <c r="AV43" s="159">
        <f>'Cooling Load'!$H$19+Multiplex_EEM_Savings_16CTZ!$DX$25</f>
        <v>1.9444582684221987E-2</v>
      </c>
      <c r="AW43" s="164">
        <f>'Cooling Load'!$E$19+Multiplex_EEM_Savings_16CTZ!$DV$26</f>
        <v>4.903686480663097E-2</v>
      </c>
      <c r="AX43" s="164">
        <f>'Cooling Load'!$G$19+Multiplex_EEM_Savings_16CTZ!$DX$26</f>
        <v>1.7781406770804892E-2</v>
      </c>
      <c r="AY43" s="159">
        <f>'Cooling Load'!$E$19+Multiplex_EEM_Savings_16CTZ!$DV$27</f>
        <v>5.1203299451130585E-2</v>
      </c>
      <c r="AZ43" s="159">
        <f>'Cooling Load'!$G$19+Multiplex_EEM_Savings_16CTZ!$DX$27</f>
        <v>1.9444582684221987E-2</v>
      </c>
      <c r="BA43" s="164">
        <f>'Cooling Load'!$F$19+Multiplex_EEM_Savings_16CTZ!$DV$29</f>
        <v>2.6050313779346052E-2</v>
      </c>
      <c r="BB43" s="164">
        <f>'Cooling Load'!$H$19+Multiplex_EEM_Savings_16CTZ!$DX$29</f>
        <v>1.7781406770804892E-2</v>
      </c>
      <c r="BC43" s="159">
        <f>'Cooling Load'!$F$19+Multiplex_EEM_Savings_16CTZ!$DV$38</f>
        <v>3.5895133422367095E-2</v>
      </c>
      <c r="BD43" s="159">
        <f>'Cooling Load'!$H$19+Multiplex_EEM_Savings_16CTZ!$DX$38</f>
        <v>1.7216751780508105E-2</v>
      </c>
      <c r="BE43" s="164">
        <f>'Cooling Load'!$D$19+Multiplex_EEM_Savings_16CTZ!$DV$37</f>
        <v>6.4526143216433282E-2</v>
      </c>
      <c r="BF43" s="164">
        <f>'Cooling Load'!$I$19+Multiplex_EEM_Savings_16CTZ!$DX$37</f>
        <v>7.864484116537224E-3</v>
      </c>
      <c r="BG43" s="159">
        <f>'Cooling Load'!$D$19+Multiplex_EEM_Savings_16CTZ!$DV$27</f>
        <v>6.2203299451130581E-2</v>
      </c>
      <c r="BH43" s="159">
        <f>'Cooling Load'!$I$19+Multiplex_EEM_Savings_16CTZ!$DX$27</f>
        <v>1.0827916017555322E-2</v>
      </c>
      <c r="BI43" s="164">
        <f>'Cooling Load'!$F$19+Multiplex_EEM_Savings_16CTZ!$DV$39</f>
        <v>2.6050313779346052E-2</v>
      </c>
      <c r="BJ43" s="164">
        <f>'Cooling Load'!$I$19+Multiplex_EEM_Savings_16CTZ!$DX$39</f>
        <v>7.864484116537224E-3</v>
      </c>
      <c r="BK43" s="159">
        <f>'Cooling Load'!$F$19+Multiplex_EEM_Savings_16CTZ!$DV$38</f>
        <v>3.5895133422367095E-2</v>
      </c>
      <c r="BL43" s="159">
        <f>'Cooling Load'!$I$19+Multiplex_EEM_Savings_16CTZ!$DX$38</f>
        <v>8.6000851138414401E-3</v>
      </c>
    </row>
    <row r="44" spans="2:64" ht="15.6" x14ac:dyDescent="0.25">
      <c r="B44" s="70">
        <v>12</v>
      </c>
      <c r="C44" s="66" t="s">
        <v>57</v>
      </c>
      <c r="D44" s="105" t="str">
        <f t="shared" si="3"/>
        <v>/Fixture</v>
      </c>
      <c r="E44" s="71">
        <f>Multiplex_EEM_Savings_16CTZ!$EK$21</f>
        <v>6.0991662613203788E-2</v>
      </c>
      <c r="F44" s="68">
        <f>Multiplex_EEM_Savings_16CTZ!$EO$21</f>
        <v>286.22590802994489</v>
      </c>
      <c r="G44" s="67">
        <f>Multiplex_EEM_Savings_16CTZ!$EK$22</f>
        <v>6.271348521754494E-2</v>
      </c>
      <c r="H44" s="100">
        <f>Multiplex_EEM_Savings_16CTZ!$EO$22</f>
        <v>292.66056278651297</v>
      </c>
      <c r="I44" s="71">
        <f>Multiplex_EEM_Savings_16CTZ!$EK$24</f>
        <v>4.6474559922051198E-2</v>
      </c>
      <c r="J44" s="68">
        <f>Multiplex_EEM_Savings_16CTZ!$EO$24</f>
        <v>214.47906007248582</v>
      </c>
      <c r="K44" s="104">
        <f>Multiplex_EEM_Savings_16CTZ!$EK$25</f>
        <v>4.9947283198546112E-2</v>
      </c>
      <c r="L44" s="100">
        <f>Multiplex_EEM_Savings_16CTZ!$EO$25</f>
        <v>226.03609835792093</v>
      </c>
      <c r="M44" s="71">
        <f>Multiplex_EEM_Savings_16CTZ!$EK$26</f>
        <v>3.1218767396821768E-2</v>
      </c>
      <c r="N44" s="68">
        <f>Multiplex_EEM_Savings_16CTZ!$EO$26</f>
        <v>147.26027390476705</v>
      </c>
      <c r="O44" s="104">
        <f>Multiplex_EEM_Savings_16CTZ!$EK$27</f>
        <v>3.1690371792395151E-2</v>
      </c>
      <c r="P44" s="100">
        <f>Multiplex_EEM_Savings_16CTZ!$EO$27</f>
        <v>149.33416060749215</v>
      </c>
      <c r="Q44" s="71">
        <f>Multiplex_EEM_Savings_16CTZ!$EK$29</f>
        <v>8.2315168929162578E-3</v>
      </c>
      <c r="R44" s="68">
        <f>Multiplex_EEM_Savings_16CTZ!$EO$29</f>
        <v>38.989613677759912</v>
      </c>
      <c r="S44" s="67">
        <f>Multiplex_EEM_Savings_16CTZ!$EK$30</f>
        <v>8.7121120353892082E-3</v>
      </c>
      <c r="T44" s="113">
        <f>Multiplex_EEM_Savings_16CTZ!$EO$30</f>
        <v>41.100020328003922</v>
      </c>
      <c r="U44" s="71">
        <f>Multiplex_EEM_Savings_16CTZ!$EK$32</f>
        <v>3.2137625773295431E-2</v>
      </c>
      <c r="V44" s="68">
        <f>Multiplex_EEM_Savings_16CTZ!$EO$32</f>
        <v>71.493114315320796</v>
      </c>
      <c r="W44" s="67">
        <f>Multiplex_EEM_Savings_16CTZ!$EK$33</f>
        <v>3.0542234558328413E-2</v>
      </c>
      <c r="X44" s="100">
        <f>Multiplex_EEM_Savings_16CTZ!$EO$33</f>
        <v>61.10766946931659</v>
      </c>
      <c r="Y44" s="104">
        <f>Multiplex_EEM_Savings_16CTZ!$EK$37</f>
        <v>5.6323856692663869E-2</v>
      </c>
      <c r="Z44" s="68">
        <f>Multiplex_EEM_Savings_16CTZ!$EO$37</f>
        <v>256.69482501686986</v>
      </c>
      <c r="AA44" s="67">
        <f>Multiplex_EEM_Savings_16CTZ!$EK$38</f>
        <v>6.0665811600215606E-2</v>
      </c>
      <c r="AB44" s="68">
        <f>Multiplex_EEM_Savings_16CTZ!$EO$38</f>
        <v>269.25580563564483</v>
      </c>
      <c r="AC44" s="71">
        <f>Multiplex_EEM_Savings_16CTZ!$EK$39</f>
        <v>1.8080813663528924E-2</v>
      </c>
      <c r="AD44" s="68">
        <f>Multiplex_EEM_Savings_16CTZ!$EO$39</f>
        <v>83.598989308100258</v>
      </c>
      <c r="AE44" s="104">
        <f>Multiplex_EEM_Savings_16CTZ!$EK$40</f>
        <v>1.9430640437058701E-2</v>
      </c>
      <c r="AF44" s="100">
        <f>Multiplex_EEM_Savings_16CTZ!$EO$40</f>
        <v>88.186457116090466</v>
      </c>
      <c r="AG44" s="67">
        <f>Multiplex_EEM_Savings_16CTZ!$EK$42</f>
        <v>1.984095938381646E-2</v>
      </c>
      <c r="AH44" s="68">
        <f>Multiplex_EEM_Savings_16CTZ!$EO$42</f>
        <v>88.731997350091675</v>
      </c>
      <c r="AI44" s="67">
        <f>Multiplex_EEM_Savings_16CTZ!$EK$43</f>
        <v>2.2432013619214427E-2</v>
      </c>
      <c r="AJ44" s="68">
        <f>Multiplex_EEM_Savings_16CTZ!$EO$43</f>
        <v>96.478513042038628</v>
      </c>
      <c r="AK44" s="104">
        <f>Multiplex_EEM_Savings_16CTZ!$EK$45</f>
        <v>-1.886237422670457E-2</v>
      </c>
      <c r="AL44" s="68">
        <f>Multiplex_EEM_Savings_16CTZ!$EO$45</f>
        <v>-187.2460029516005</v>
      </c>
      <c r="AM44" s="67">
        <f>Multiplex_EEM_Savings_16CTZ!$EK$46</f>
        <v>-2.0457765441671584E-2</v>
      </c>
      <c r="AN44" s="100">
        <f>Multiplex_EEM_Savings_16CTZ!$EO$46</f>
        <v>-209.03496951718986</v>
      </c>
      <c r="AO44" s="164">
        <f>'Cooling Load'!$C$19+Multiplex_EEM_Savings_16CTZ!$EG$21</f>
        <v>7.8651813689331343E-2</v>
      </c>
      <c r="AP44" s="164">
        <f>'Cooling Load'!$G$19+Multiplex_EEM_Savings_16CTZ!$EI$21</f>
        <v>1.7660151076127548E-2</v>
      </c>
      <c r="AQ44" s="159">
        <f>'Cooling Load'!$C$19+Multiplex_EEM_Savings_16CTZ!$EG$22</f>
        <v>8.1932200552840131E-2</v>
      </c>
      <c r="AR44" s="159">
        <f>'Cooling Load'!$G$19+Multiplex_EEM_Savings_16CTZ!$EI$22</f>
        <v>1.9218715335295202E-2</v>
      </c>
      <c r="AS44" s="164">
        <f>'Cooling Load'!$D$19+Multiplex_EEM_Savings_16CTZ!$EG$24</f>
        <v>6.4134710998178746E-2</v>
      </c>
      <c r="AT44" s="164">
        <f>'Cooling Load'!$H$19+Multiplex_EEM_Savings_16CTZ!$EI$24</f>
        <v>1.7660151076127548E-2</v>
      </c>
      <c r="AU44" s="159">
        <f>'Cooling Load'!$D$19+Multiplex_EEM_Savings_16CTZ!$EG$25</f>
        <v>6.9165998533841311E-2</v>
      </c>
      <c r="AV44" s="159">
        <f>'Cooling Load'!$H$19+Multiplex_EEM_Savings_16CTZ!$EI$25</f>
        <v>1.9218715335295202E-2</v>
      </c>
      <c r="AW44" s="164">
        <f>'Cooling Load'!$E$19+Multiplex_EEM_Savings_16CTZ!$EG$26</f>
        <v>4.8878918472949319E-2</v>
      </c>
      <c r="AX44" s="164">
        <f>'Cooling Load'!$G$19+Multiplex_EEM_Savings_16CTZ!$EI$26</f>
        <v>1.7660151076127548E-2</v>
      </c>
      <c r="AY44" s="159">
        <f>'Cooling Load'!$E$19+Multiplex_EEM_Savings_16CTZ!$EG$27</f>
        <v>5.090908712769035E-2</v>
      </c>
      <c r="AZ44" s="159">
        <f>'Cooling Load'!$G$19+Multiplex_EEM_Savings_16CTZ!$EI$27</f>
        <v>1.9218715335295202E-2</v>
      </c>
      <c r="BA44" s="164">
        <f>'Cooling Load'!$F$19+Multiplex_EEM_Savings_16CTZ!$EG$29</f>
        <v>2.5891667969043807E-2</v>
      </c>
      <c r="BB44" s="164">
        <f>'Cooling Load'!$H$19+Multiplex_EEM_Savings_16CTZ!$EI$29</f>
        <v>1.7660151076127548E-2</v>
      </c>
      <c r="BC44" s="159">
        <f>'Cooling Load'!$F$19+Multiplex_EEM_Savings_16CTZ!$EG$38</f>
        <v>3.5165998533841308E-2</v>
      </c>
      <c r="BD44" s="159">
        <f>'Cooling Load'!$H$19+Multiplex_EEM_Savings_16CTZ!$EI$38</f>
        <v>1.7116853600292376E-2</v>
      </c>
      <c r="BE44" s="164">
        <f>'Cooling Load'!$D$19+Multiplex_EEM_Savings_16CTZ!$EG$37</f>
        <v>6.4134710998178746E-2</v>
      </c>
      <c r="BF44" s="164">
        <f>'Cooling Load'!$I$19+Multiplex_EEM_Savings_16CTZ!$EI$37</f>
        <v>7.8108543055148815E-3</v>
      </c>
      <c r="BG44" s="159">
        <f>'Cooling Load'!$D$19+Multiplex_EEM_Savings_16CTZ!$EG$27</f>
        <v>6.1909087127690353E-2</v>
      </c>
      <c r="BH44" s="159">
        <f>'Cooling Load'!$I$19+Multiplex_EEM_Savings_16CTZ!$EI$27</f>
        <v>1.0602048668628536E-2</v>
      </c>
      <c r="BI44" s="164">
        <f>'Cooling Load'!$F$19+Multiplex_EEM_Savings_16CTZ!$EG$39</f>
        <v>2.5891667969043807E-2</v>
      </c>
      <c r="BJ44" s="164">
        <f>'Cooling Load'!$I$19+Multiplex_EEM_Savings_16CTZ!$EI$39</f>
        <v>7.8108543055148815E-3</v>
      </c>
      <c r="BK44" s="159">
        <f>'Cooling Load'!$F$19+Multiplex_EEM_Savings_16CTZ!$EG$38</f>
        <v>3.5165998533841308E-2</v>
      </c>
      <c r="BL44" s="159">
        <f>'Cooling Load'!$I$19+Multiplex_EEM_Savings_16CTZ!$EI$38</f>
        <v>8.5001869336257096E-3</v>
      </c>
    </row>
    <row r="45" spans="2:64" s="240" customFormat="1" ht="15.6" x14ac:dyDescent="0.25">
      <c r="B45" s="231">
        <v>13</v>
      </c>
      <c r="C45" s="232" t="s">
        <v>58</v>
      </c>
      <c r="D45" s="233" t="str">
        <f t="shared" si="3"/>
        <v>/Fixture</v>
      </c>
      <c r="E45" s="234">
        <f>Multiplex_EEM_Savings_16CTZ!$EV$21</f>
        <v>6.1024762318356976E-2</v>
      </c>
      <c r="F45" s="235">
        <f>Multiplex_EEM_Savings_16CTZ!$EZ$21</f>
        <v>286.51113898921602</v>
      </c>
      <c r="G45" s="236">
        <f>Multiplex_EEM_Savings_16CTZ!$EV$22</f>
        <v>6.2774410885327703E-2</v>
      </c>
      <c r="H45" s="237">
        <f>Multiplex_EEM_Savings_16CTZ!$EZ$22</f>
        <v>293.13977463056807</v>
      </c>
      <c r="I45" s="234">
        <f>Multiplex_EEM_Savings_16CTZ!$EV$24</f>
        <v>3.9309887639062582E-2</v>
      </c>
      <c r="J45" s="235">
        <f>Multiplex_EEM_Savings_16CTZ!$EZ$24</f>
        <v>193.59772783447619</v>
      </c>
      <c r="K45" s="238">
        <f>Multiplex_EEM_Savings_16CTZ!$EV$25</f>
        <v>5.0070163444229827E-2</v>
      </c>
      <c r="L45" s="237">
        <f>Multiplex_EEM_Savings_16CTZ!$EZ$25</f>
        <v>226.93938530092476</v>
      </c>
      <c r="M45" s="234">
        <f>Multiplex_EEM_Savings_16CTZ!$EV$26</f>
        <v>3.1227833351934138E-2</v>
      </c>
      <c r="N45" s="235">
        <f>Multiplex_EEM_Savings_16CTZ!$EZ$26</f>
        <v>147.32242491392768</v>
      </c>
      <c r="O45" s="238">
        <f>Multiplex_EEM_Savings_16CTZ!$EV$27</f>
        <v>3.1707059233167016E-2</v>
      </c>
      <c r="P45" s="237">
        <f>Multiplex_EEM_Savings_16CTZ!$EZ$27</f>
        <v>149.4404534433053</v>
      </c>
      <c r="Q45" s="234">
        <f>Multiplex_EEM_Savings_16CTZ!$EV$29</f>
        <v>8.2407556829482854E-3</v>
      </c>
      <c r="R45" s="235">
        <f>Multiplex_EEM_Savings_16CTZ!$EZ$29</f>
        <v>39.053678187552144</v>
      </c>
      <c r="S45" s="236">
        <f>Multiplex_EEM_Savings_16CTZ!$EV$30</f>
        <v>8.7291176083875502E-3</v>
      </c>
      <c r="T45" s="239">
        <f>Multiplex_EEM_Savings_16CTZ!$EZ$30</f>
        <v>41.209509461543391</v>
      </c>
      <c r="U45" s="234">
        <f>Multiplex_EEM_Savings_16CTZ!$EV$32</f>
        <v>3.2106956540189621E-2</v>
      </c>
      <c r="V45" s="235">
        <f>Multiplex_EEM_Savings_16CTZ!$EZ$32</f>
        <v>70.770293069571579</v>
      </c>
      <c r="W45" s="236">
        <f>Multiplex_EEM_Savings_16CTZ!$EV$33</f>
        <v>3.0485782589988838E-2</v>
      </c>
      <c r="X45" s="237">
        <f>Multiplex_EEM_Savings_16CTZ!$EZ$33</f>
        <v>59.909785842559828</v>
      </c>
      <c r="Y45" s="238">
        <f>Multiplex_EEM_Savings_16CTZ!$EV$37</f>
        <v>5.6407324889019304E-2</v>
      </c>
      <c r="Z45" s="235">
        <f>Multiplex_EEM_Savings_16CTZ!$EZ$37</f>
        <v>257.29362326640376</v>
      </c>
      <c r="AA45" s="236">
        <f>Multiplex_EEM_Savings_16CTZ!$EV$38</f>
        <v>6.0819449089674918E-2</v>
      </c>
      <c r="AB45" s="235">
        <f>Multiplex_EEM_Savings_16CTZ!$EZ$38</f>
        <v>270.25919348054481</v>
      </c>
      <c r="AC45" s="234">
        <f>Multiplex_EEM_Savings_16CTZ!$EV$39</f>
        <v>1.8106762253179833E-2</v>
      </c>
      <c r="AD45" s="235">
        <f>Multiplex_EEM_Savings_16CTZ!$EZ$39</f>
        <v>83.811507573877051</v>
      </c>
      <c r="AE45" s="238">
        <f>Multiplex_EEM_Savings_16CTZ!$EV$40</f>
        <v>1.9478403253832634E-2</v>
      </c>
      <c r="AF45" s="237">
        <f>Multiplex_EEM_Savings_16CTZ!$EZ$40</f>
        <v>88.542928618744142</v>
      </c>
      <c r="AG45" s="236">
        <f>Multiplex_EEM_Savings_16CTZ!$EV$42</f>
        <v>1.9890768888588525E-2</v>
      </c>
      <c r="AH45" s="235">
        <f>Multiplex_EEM_Savings_16CTZ!$EZ$42</f>
        <v>89.095849978665285</v>
      </c>
      <c r="AI45" s="236">
        <f>Multiplex_EEM_Savings_16CTZ!$EV$43</f>
        <v>2.252369653077279E-2</v>
      </c>
      <c r="AJ45" s="235">
        <f>Multiplex_EEM_Savings_16CTZ!$EZ$43</f>
        <v>97.088527680669486</v>
      </c>
      <c r="AK45" s="238">
        <f>Multiplex_EEM_Savings_16CTZ!$EV$45</f>
        <v>-1.8893043459810376E-2</v>
      </c>
      <c r="AL45" s="235">
        <f>Multiplex_EEM_Savings_16CTZ!$EZ$45</f>
        <v>-188.65225327839195</v>
      </c>
      <c r="AM45" s="236">
        <f>Multiplex_EEM_Savings_16CTZ!$EV$46</f>
        <v>-2.0514217410011158E-2</v>
      </c>
      <c r="AN45" s="237">
        <f>Multiplex_EEM_Savings_16CTZ!$EZ$46</f>
        <v>-211.36987343984885</v>
      </c>
      <c r="AO45" s="230">
        <f>'Cooling Load'!$C$19+Multiplex_EEM_Savings_16CTZ!$ER$21</f>
        <v>7.8714874679294389E-2</v>
      </c>
      <c r="AP45" s="230">
        <f>'Cooling Load'!$G$19+Multiplex_EEM_Savings_16CTZ!$ET$21</f>
        <v>1.769011236093742E-2</v>
      </c>
      <c r="AQ45" s="230">
        <f>'Cooling Load'!$C$19+Multiplex_EEM_Savings_16CTZ!$ER$22</f>
        <v>8.2048275089056127E-2</v>
      </c>
      <c r="AR45" s="230">
        <f>'Cooling Load'!$G$19+Multiplex_EEM_Savings_16CTZ!$ET$22</f>
        <v>1.9273864203728418E-2</v>
      </c>
      <c r="AS45" s="230">
        <f>'Cooling Load'!$D$19+Multiplex_EEM_Savings_16CTZ!$ER$24</f>
        <v>5.7000000000000002E-2</v>
      </c>
      <c r="AT45" s="230">
        <f>'Cooling Load'!$H$19+Multiplex_EEM_Savings_16CTZ!$ET$24</f>
        <v>1.769011236093742E-2</v>
      </c>
      <c r="AU45" s="230">
        <f>'Cooling Load'!$D$19+Multiplex_EEM_Savings_16CTZ!$ER$25</f>
        <v>6.9344027647958245E-2</v>
      </c>
      <c r="AV45" s="230">
        <f>'Cooling Load'!$H$19+Multiplex_EEM_Savings_16CTZ!$ET$25</f>
        <v>1.9273864203728418E-2</v>
      </c>
      <c r="AW45" s="230">
        <f>'Cooling Load'!$E$19+Multiplex_EEM_Savings_16CTZ!$ER$26</f>
        <v>4.8917945712871558E-2</v>
      </c>
      <c r="AX45" s="230">
        <f>'Cooling Load'!$G$19+Multiplex_EEM_Savings_16CTZ!$ET$26</f>
        <v>1.769011236093742E-2</v>
      </c>
      <c r="AY45" s="230">
        <f>'Cooling Load'!$E$19+Multiplex_EEM_Savings_16CTZ!$ER$27</f>
        <v>5.0980923436895434E-2</v>
      </c>
      <c r="AZ45" s="230">
        <f>'Cooling Load'!$G$19+Multiplex_EEM_Savings_16CTZ!$ET$27</f>
        <v>1.9273864203728418E-2</v>
      </c>
      <c r="BA45" s="230">
        <f>'Cooling Load'!$F$19+Multiplex_EEM_Savings_16CTZ!$ER$29</f>
        <v>2.5930868043885707E-2</v>
      </c>
      <c r="BB45" s="230">
        <f>'Cooling Load'!$H$19+Multiplex_EEM_Savings_16CTZ!$ET$29</f>
        <v>1.769011236093742E-2</v>
      </c>
      <c r="BC45" s="230">
        <f>'Cooling Load'!$F$19+Multiplex_EEM_Savings_16CTZ!$ER$38</f>
        <v>3.5344027647958243E-2</v>
      </c>
      <c r="BD45" s="230">
        <f>'Cooling Load'!$H$19+Multiplex_EEM_Savings_16CTZ!$ET$38</f>
        <v>1.7141245224949999E-2</v>
      </c>
      <c r="BE45" s="230">
        <f>'Cooling Load'!$D$19+Multiplex_EEM_Savings_16CTZ!$ER$37</f>
        <v>6.4231430679725171E-2</v>
      </c>
      <c r="BF45" s="230">
        <f>'Cooling Load'!$I$19+Multiplex_EEM_Savings_16CTZ!$ET$37</f>
        <v>7.8241057907058702E-3</v>
      </c>
      <c r="BG45" s="230">
        <f>'Cooling Load'!$D$19+Multiplex_EEM_Savings_16CTZ!$ER$27</f>
        <v>6.1980923436895437E-2</v>
      </c>
      <c r="BH45" s="230">
        <f>'Cooling Load'!$I$19+Multiplex_EEM_Savings_16CTZ!$ET$27</f>
        <v>1.0657197537061751E-2</v>
      </c>
      <c r="BI45" s="230">
        <f>'Cooling Load'!$F$19+Multiplex_EEM_Savings_16CTZ!$ER$39</f>
        <v>2.5930868043885707E-2</v>
      </c>
      <c r="BJ45" s="230">
        <f>'Cooling Load'!$I$19+Multiplex_EEM_Savings_16CTZ!$ET$39</f>
        <v>7.8241057907058702E-3</v>
      </c>
      <c r="BK45" s="230">
        <f>'Cooling Load'!$F$19+Multiplex_EEM_Savings_16CTZ!$ER$38</f>
        <v>3.5344027647958243E-2</v>
      </c>
      <c r="BL45" s="230">
        <f>'Cooling Load'!$I$19+Multiplex_EEM_Savings_16CTZ!$ET$38</f>
        <v>8.5245785582833342E-3</v>
      </c>
    </row>
    <row r="46" spans="2:64" s="240" customFormat="1" x14ac:dyDescent="0.25">
      <c r="B46" s="231">
        <v>14</v>
      </c>
      <c r="C46" s="232" t="s">
        <v>224</v>
      </c>
      <c r="D46" s="233" t="str">
        <f t="shared" si="3"/>
        <v>/Fixture</v>
      </c>
      <c r="E46" s="234">
        <f>Multiplex_EEM_Savings_16CTZ!$FG$21</f>
        <v>6.1091717402855017E-2</v>
      </c>
      <c r="F46" s="235">
        <f>Multiplex_EEM_Savings_16CTZ!$FK$21</f>
        <v>287.16809905311339</v>
      </c>
      <c r="G46" s="236">
        <f>Multiplex_EEM_Savings_16CTZ!$FG$22</f>
        <v>6.2899190839687771E-2</v>
      </c>
      <c r="H46" s="237">
        <f>Multiplex_EEM_Savings_16CTZ!$FK$22</f>
        <v>294.2467351738606</v>
      </c>
      <c r="I46" s="234">
        <f>Multiplex_EEM_Savings_16CTZ!$FG$24</f>
        <v>4.6676359222438228E-2</v>
      </c>
      <c r="J46" s="235">
        <f>Multiplex_EEM_Savings_16CTZ!$FK$24</f>
        <v>216.07028535207752</v>
      </c>
      <c r="K46" s="238">
        <f>Multiplex_EEM_Savings_16CTZ!$FG$25</f>
        <v>5.032183063157749E-2</v>
      </c>
      <c r="L46" s="237">
        <f>Multiplex_EEM_Savings_16CTZ!$FK$25</f>
        <v>228.72122154426575</v>
      </c>
      <c r="M46" s="234">
        <f>Multiplex_EEM_Savings_16CTZ!$FG$26</f>
        <v>3.1246172240084205E-2</v>
      </c>
      <c r="N46" s="235">
        <f>Multiplex_EEM_Savings_16CTZ!$FK$26</f>
        <v>147.67814511176434</v>
      </c>
      <c r="O46" s="238">
        <f>Multiplex_EEM_Savings_16CTZ!$FG$27</f>
        <v>3.1741236258609286E-2</v>
      </c>
      <c r="P46" s="237">
        <f>Multiplex_EEM_Savings_16CTZ!$FK$27</f>
        <v>150.03051435863503</v>
      </c>
      <c r="Q46" s="234">
        <f>Multiplex_EEM_Savings_16CTZ!$FG$29</f>
        <v>8.2594441868002483E-3</v>
      </c>
      <c r="R46" s="235">
        <f>Multiplex_EEM_Savings_16CTZ!$FK$29</f>
        <v>39.41170222565313</v>
      </c>
      <c r="S46" s="236">
        <f>Multiplex_EEM_Savings_16CTZ!$FG$30</f>
        <v>8.7639461904913327E-3</v>
      </c>
      <c r="T46" s="239">
        <f>Multiplex_EEM_Savings_16CTZ!$FK$30</f>
        <v>41.803544494868888</v>
      </c>
      <c r="U46" s="234">
        <f>Multiplex_EEM_Savings_16CTZ!$FG$32</f>
        <v>3.1884587570279177E-2</v>
      </c>
      <c r="V46" s="235">
        <f>Multiplex_EEM_Savings_16CTZ!$FK$32</f>
        <v>69.795171819862333</v>
      </c>
      <c r="W46" s="236">
        <f>Multiplex_EEM_Savings_16CTZ!$FG$33</f>
        <v>3.0066168384425794E-2</v>
      </c>
      <c r="X46" s="237">
        <f>Multiplex_EEM_Savings_16CTZ!$FK$33</f>
        <v>58.052846192304315</v>
      </c>
      <c r="Y46" s="238">
        <f>Multiplex_EEM_Savings_16CTZ!$FG$37</f>
        <v>5.6576166880632647E-2</v>
      </c>
      <c r="Z46" s="235">
        <f>Multiplex_EEM_Savings_16CTZ!$FK$37</f>
        <v>258.37297356438523</v>
      </c>
      <c r="AA46" s="236">
        <f>Multiplex_EEM_Savings_16CTZ!$FG$38</f>
        <v>6.1134109225876962E-2</v>
      </c>
      <c r="AB46" s="235">
        <f>Multiplex_EEM_Savings_16CTZ!$FK$38</f>
        <v>272.09101424807255</v>
      </c>
      <c r="AC46" s="234">
        <f>Multiplex_EEM_Savings_16CTZ!$FG$39</f>
        <v>1.8159251844994662E-2</v>
      </c>
      <c r="AD46" s="235">
        <f>Multiplex_EEM_Savings_16CTZ!$FK$39</f>
        <v>84.235546599394127</v>
      </c>
      <c r="AE46" s="238">
        <f>Multiplex_EEM_Savings_16CTZ!$FG$40</f>
        <v>1.9576224784790801E-2</v>
      </c>
      <c r="AF46" s="237">
        <f>Multiplex_EEM_Savings_16CTZ!$FK$40</f>
        <v>89.260292173280178</v>
      </c>
      <c r="AG46" s="236">
        <f>Multiplex_EEM_Savings_16CTZ!$FG$42</f>
        <v>2.0251915456215477E-2</v>
      </c>
      <c r="AH46" s="235">
        <f>Multiplex_EEM_Savings_16CTZ!$FK$42</f>
        <v>90.716550461131959</v>
      </c>
      <c r="AI46" s="236">
        <f>Multiplex_EEM_Savings_16CTZ!$FG$43</f>
        <v>2.3205186534201047E-2</v>
      </c>
      <c r="AJ46" s="235">
        <f>Multiplex_EEM_Savings_16CTZ!$FK$43</f>
        <v>99.929142574377749</v>
      </c>
      <c r="AK46" s="238">
        <f>Multiplex_EEM_Savings_16CTZ!$FG$45</f>
        <v>-1.9115412429720816E-2</v>
      </c>
      <c r="AL46" s="235">
        <f>Multiplex_EEM_Savings_16CTZ!$FK$45</f>
        <v>-191.25993430789347</v>
      </c>
      <c r="AM46" s="236">
        <f>Multiplex_EEM_Savings_16CTZ!$FG$46</f>
        <v>-2.0933831615574203E-2</v>
      </c>
      <c r="AN46" s="237">
        <f>Multiplex_EEM_Savings_16CTZ!$FK$46</f>
        <v>-216.1811910879444</v>
      </c>
      <c r="AO46" s="230">
        <f>'Cooling Load'!$C$19+Multiplex_EEM_Savings_16CTZ!$FC$21</f>
        <v>7.8842436356716186E-2</v>
      </c>
      <c r="AP46" s="230">
        <f>'Cooling Load'!$G$19+Multiplex_EEM_Savings_16CTZ!$FE$21</f>
        <v>1.7750718953861162E-2</v>
      </c>
      <c r="AQ46" s="230">
        <f>'Cooling Load'!$C$19+Multiplex_EEM_Savings_16CTZ!$FC$22</f>
        <v>8.2286003715733427E-2</v>
      </c>
      <c r="AR46" s="230">
        <f>'Cooling Load'!$G$19+Multiplex_EEM_Savings_16CTZ!$FE$22</f>
        <v>1.9386812876045666E-2</v>
      </c>
      <c r="AS46" s="230">
        <f>'Cooling Load'!$D$19+Multiplex_EEM_Savings_16CTZ!$FC$24</f>
        <v>6.442707817629939E-2</v>
      </c>
      <c r="AT46" s="230">
        <f>'Cooling Load'!$H$19+Multiplex_EEM_Savings_16CTZ!$FE$24</f>
        <v>1.7750718953861162E-2</v>
      </c>
      <c r="AU46" s="230">
        <f>'Cooling Load'!$D$19+Multiplex_EEM_Savings_16CTZ!$FC$25</f>
        <v>6.9708643507623153E-2</v>
      </c>
      <c r="AV46" s="230">
        <f>'Cooling Load'!$H$19+Multiplex_EEM_Savings_16CTZ!$FE$25</f>
        <v>1.9386812876045666E-2</v>
      </c>
      <c r="AW46" s="230">
        <f>'Cooling Load'!$E$19+Multiplex_EEM_Savings_16CTZ!$FC$26</f>
        <v>4.8996891193945367E-2</v>
      </c>
      <c r="AX46" s="230">
        <f>'Cooling Load'!$G$19+Multiplex_EEM_Savings_16CTZ!$FE$26</f>
        <v>1.7750718953861162E-2</v>
      </c>
      <c r="AY46" s="230">
        <f>'Cooling Load'!$E$19+Multiplex_EEM_Savings_16CTZ!$FC$27</f>
        <v>5.1128049134654956E-2</v>
      </c>
      <c r="AZ46" s="230">
        <f>'Cooling Load'!$G$19+Multiplex_EEM_Savings_16CTZ!$FE$27</f>
        <v>1.9386812876045666E-2</v>
      </c>
      <c r="BA46" s="230">
        <f>'Cooling Load'!$F$19+Multiplex_EEM_Savings_16CTZ!$FC$29</f>
        <v>2.6010163140661412E-2</v>
      </c>
      <c r="BB46" s="230">
        <f>'Cooling Load'!$H$19+Multiplex_EEM_Savings_16CTZ!$FE$29</f>
        <v>1.7750718953861162E-2</v>
      </c>
      <c r="BC46" s="230">
        <f>'Cooling Load'!$F$19+Multiplex_EEM_Savings_16CTZ!$FC$38</f>
        <v>3.5708643507623157E-2</v>
      </c>
      <c r="BD46" s="230">
        <f>'Cooling Load'!$H$19+Multiplex_EEM_Savings_16CTZ!$FE$38</f>
        <v>1.7191200948412862E-2</v>
      </c>
      <c r="BE46" s="230">
        <f>'Cooling Load'!$D$19+Multiplex_EEM_Savings_16CTZ!$FC$37</f>
        <v>6.442707817629939E-2</v>
      </c>
      <c r="BF46" s="230">
        <f>'Cooling Load'!$I$19+Multiplex_EEM_Savings_16CTZ!$FE$37</f>
        <v>7.8509112956667501E-3</v>
      </c>
      <c r="BG46" s="230">
        <f>'Cooling Load'!$D$19+Multiplex_EEM_Savings_16CTZ!$FC$27</f>
        <v>6.2128049134654958E-2</v>
      </c>
      <c r="BH46" s="230">
        <f>'Cooling Load'!$I$19+Multiplex_EEM_Savings_16CTZ!$FE$27</f>
        <v>1.0770146209379002E-2</v>
      </c>
      <c r="BI46" s="230">
        <f>'Cooling Load'!$F$19+Multiplex_EEM_Savings_16CTZ!$FC$39</f>
        <v>2.6010163140661412E-2</v>
      </c>
      <c r="BJ46" s="230">
        <f>'Cooling Load'!$I$19+Multiplex_EEM_Savings_16CTZ!$FE$39</f>
        <v>7.8509112956667501E-3</v>
      </c>
      <c r="BK46" s="230">
        <f>'Cooling Load'!$F$19+Multiplex_EEM_Savings_16CTZ!$FC$38</f>
        <v>3.5708643507623157E-2</v>
      </c>
      <c r="BL46" s="230">
        <f>'Cooling Load'!$I$19+Multiplex_EEM_Savings_16CTZ!$FE$38</f>
        <v>8.5745342817461958E-3</v>
      </c>
    </row>
    <row r="47" spans="2:64" s="240" customFormat="1" x14ac:dyDescent="0.25">
      <c r="B47" s="231">
        <v>15</v>
      </c>
      <c r="C47" s="232" t="s">
        <v>225</v>
      </c>
      <c r="D47" s="233" t="str">
        <f t="shared" si="3"/>
        <v>/Fixture</v>
      </c>
      <c r="E47" s="234">
        <f>Multiplex_EEM_Savings_16CTZ!$FR$21</f>
        <v>6.1449648330684496E-2</v>
      </c>
      <c r="F47" s="235">
        <f>Multiplex_EEM_Savings_16CTZ!$FV$21</f>
        <v>288.20321089804003</v>
      </c>
      <c r="G47" s="236">
        <f>Multiplex_EEM_Savings_16CTZ!$FR$22</f>
        <v>6.3575024457484239E-2</v>
      </c>
      <c r="H47" s="237">
        <f>Multiplex_EEM_Savings_16CTZ!$FV$22</f>
        <v>296.18212538553354</v>
      </c>
      <c r="I47" s="234">
        <f>Multiplex_EEM_Savings_16CTZ!$FR$24</f>
        <v>4.7398265800570584E-2</v>
      </c>
      <c r="J47" s="235">
        <f>Multiplex_EEM_Savings_16CTZ!$FV$24</f>
        <v>218.40572467694855</v>
      </c>
      <c r="K47" s="238">
        <f>Multiplex_EEM_Savings_16CTZ!$FR$25</f>
        <v>5.1684911316917687E-2</v>
      </c>
      <c r="L47" s="237">
        <f>Multiplex_EEM_Savings_16CTZ!$FV$25</f>
        <v>232.97720853130733</v>
      </c>
      <c r="M47" s="234">
        <f>Multiplex_EEM_Savings_16CTZ!$FR$26</f>
        <v>3.1344208935879955E-2</v>
      </c>
      <c r="N47" s="235">
        <f>Multiplex_EEM_Savings_16CTZ!$FV$26</f>
        <v>147.47322313621879</v>
      </c>
      <c r="O47" s="238">
        <f>Multiplex_EEM_Savings_16CTZ!$FR$27</f>
        <v>3.1926345981309806E-2</v>
      </c>
      <c r="P47" s="237">
        <f>Multiplex_EEM_Savings_16CTZ!$FV$27</f>
        <v>149.77249975985211</v>
      </c>
      <c r="Q47" s="234">
        <f>Multiplex_EEM_Savings_16CTZ!$FR$29</f>
        <v>8.3593498709409828E-3</v>
      </c>
      <c r="R47" s="235">
        <f>Multiplex_EEM_Savings_16CTZ!$FV$29</f>
        <v>39.217984018370124</v>
      </c>
      <c r="S47" s="236">
        <f>Multiplex_EEM_Savings_16CTZ!$FR$30</f>
        <v>8.9525848766219447E-3</v>
      </c>
      <c r="T47" s="239">
        <f>Multiplex_EEM_Savings_16CTZ!$FV$30</f>
        <v>41.565239774679071</v>
      </c>
      <c r="U47" s="234">
        <f>Multiplex_EEM_Savings_16CTZ!$FR$32</f>
        <v>3.1783470187861242E-2</v>
      </c>
      <c r="V47" s="235">
        <f>Multiplex_EEM_Savings_16CTZ!$FV$32</f>
        <v>65.183829095839059</v>
      </c>
      <c r="W47" s="236">
        <f>Multiplex_EEM_Savings_16CTZ!$FR$33</f>
        <v>2.9874685473042659E-2</v>
      </c>
      <c r="X47" s="237">
        <f>Multiplex_EEM_Savings_16CTZ!$FV$33</f>
        <v>50.381126010924717</v>
      </c>
      <c r="Y47" s="238">
        <f>Multiplex_EEM_Savings_16CTZ!$FR$37</f>
        <v>5.7478768545133646E-2</v>
      </c>
      <c r="Z47" s="235">
        <f>Multiplex_EEM_Savings_16CTZ!$FV$37</f>
        <v>261.15321856667015</v>
      </c>
      <c r="AA47" s="236">
        <f>Multiplex_EEM_Savings_16CTZ!$FR$38</f>
        <v>6.2838372537371068E-2</v>
      </c>
      <c r="AB47" s="235">
        <f>Multiplex_EEM_Savings_16CTZ!$FV$38</f>
        <v>277.11284241918327</v>
      </c>
      <c r="AC47" s="234">
        <f>Multiplex_EEM_Savings_16CTZ!$FR$39</f>
        <v>1.8439852615504036E-2</v>
      </c>
      <c r="AD47" s="235">
        <f>Multiplex_EEM_Savings_16CTZ!$FV$39</f>
        <v>85.139312609756772</v>
      </c>
      <c r="AE47" s="238">
        <f>Multiplex_EEM_Savings_16CTZ!$FR$40</f>
        <v>2.0106046097075315E-2</v>
      </c>
      <c r="AF47" s="237">
        <f>Multiplex_EEM_Savings_16CTZ!$FV$40</f>
        <v>90.911573524980625</v>
      </c>
      <c r="AG47" s="236">
        <f>Multiplex_EEM_Savings_16CTZ!$FR$42</f>
        <v>2.0416138889018928E-2</v>
      </c>
      <c r="AH47" s="235">
        <f>Multiplex_EEM_Savings_16CTZ!$FV$42</f>
        <v>91.005414567443808</v>
      </c>
      <c r="AI47" s="236">
        <f>Multiplex_EEM_Savings_16CTZ!$FR$43</f>
        <v>2.3516171453693571E-2</v>
      </c>
      <c r="AJ47" s="235">
        <f>Multiplex_EEM_Savings_16CTZ!$FV$43</f>
        <v>100.49353926553803</v>
      </c>
      <c r="AK47" s="238">
        <f>Multiplex_EEM_Savings_16CTZ!$FR$45</f>
        <v>-1.9216529812138755E-2</v>
      </c>
      <c r="AL47" s="235">
        <f>Multiplex_EEM_Savings_16CTZ!$FV$45</f>
        <v>-198.95310676032517</v>
      </c>
      <c r="AM47" s="236">
        <f>Multiplex_EEM_Savings_16CTZ!$FR$46</f>
        <v>-2.1125314526957338E-2</v>
      </c>
      <c r="AN47" s="237">
        <f>Multiplex_EEM_Savings_16CTZ!$FV$46</f>
        <v>-229.03275585615006</v>
      </c>
      <c r="AO47" s="230">
        <f>'Cooling Load'!$C$19+Multiplex_EEM_Savings_16CTZ!$FN$21</f>
        <v>7.9524360215036435E-2</v>
      </c>
      <c r="AP47" s="230">
        <f>'Cooling Load'!$G$19+Multiplex_EEM_Savings_16CTZ!$FP$21</f>
        <v>1.8074711884351939E-2</v>
      </c>
      <c r="AQ47" s="230">
        <f>'Cooling Load'!$C$19+Multiplex_EEM_Savings_16CTZ!$FN$22</f>
        <v>8.3573590320850336E-2</v>
      </c>
      <c r="AR47" s="230">
        <f>'Cooling Load'!$G$19+Multiplex_EEM_Savings_16CTZ!$FP$22</f>
        <v>1.9998565863366107E-2</v>
      </c>
      <c r="AS47" s="230">
        <f>'Cooling Load'!$D$19+Multiplex_EEM_Savings_16CTZ!$FN$24</f>
        <v>6.5472977684922523E-2</v>
      </c>
      <c r="AT47" s="230">
        <f>'Cooling Load'!$H$19+Multiplex_EEM_Savings_16CTZ!$FP$24</f>
        <v>1.8074711884351939E-2</v>
      </c>
      <c r="AU47" s="230">
        <f>'Cooling Load'!$D$19+Multiplex_EEM_Savings_16CTZ!$FN$25</f>
        <v>7.1683477180283797E-2</v>
      </c>
      <c r="AV47" s="230">
        <f>'Cooling Load'!$H$19+Multiplex_EEM_Savings_16CTZ!$FP$25</f>
        <v>1.9998565863366107E-2</v>
      </c>
      <c r="AW47" s="230">
        <f>'Cooling Load'!$E$19+Multiplex_EEM_Savings_16CTZ!$FN$26</f>
        <v>4.9418920820231894E-2</v>
      </c>
      <c r="AX47" s="230">
        <f>'Cooling Load'!$G$19+Multiplex_EEM_Savings_16CTZ!$FP$26</f>
        <v>1.8074711884351939E-2</v>
      </c>
      <c r="AY47" s="230">
        <f>'Cooling Load'!$E$19+Multiplex_EEM_Savings_16CTZ!$FN$27</f>
        <v>5.1924911844675917E-2</v>
      </c>
      <c r="AZ47" s="230">
        <f>'Cooling Load'!$G$19+Multiplex_EEM_Savings_16CTZ!$FP$27</f>
        <v>1.9998565863366107E-2</v>
      </c>
      <c r="BA47" s="230">
        <f>'Cooling Load'!$F$19+Multiplex_EEM_Savings_16CTZ!$FN$29</f>
        <v>2.643406175529292E-2</v>
      </c>
      <c r="BB47" s="230">
        <f>'Cooling Load'!$H$19+Multiplex_EEM_Savings_16CTZ!$FP$29</f>
        <v>1.8074711884351939E-2</v>
      </c>
      <c r="BC47" s="230">
        <f>'Cooling Load'!$F$19+Multiplex_EEM_Savings_16CTZ!$FN$38</f>
        <v>3.7683477180283795E-2</v>
      </c>
      <c r="BD47" s="230">
        <f>'Cooling Load'!$H$19+Multiplex_EEM_Savings_16CTZ!$FP$38</f>
        <v>1.7461771309579398E-2</v>
      </c>
      <c r="BE47" s="230">
        <f>'Cooling Load'!$D$19+Multiplex_EEM_Savings_16CTZ!$FN$37</f>
        <v>6.5472977684922523E-2</v>
      </c>
      <c r="BF47" s="230">
        <f>'Cooling Load'!$I$19+Multiplex_EEM_Savings_16CTZ!$FP$37</f>
        <v>7.994209139788884E-3</v>
      </c>
      <c r="BG47" s="230">
        <f>'Cooling Load'!$D$19+Multiplex_EEM_Savings_16CTZ!$FN$27</f>
        <v>6.2924911844675913E-2</v>
      </c>
      <c r="BH47" s="230">
        <f>'Cooling Load'!$I$19+Multiplex_EEM_Savings_16CTZ!$FP$27</f>
        <v>1.1381899196699441E-2</v>
      </c>
      <c r="BI47" s="230">
        <f>'Cooling Load'!$F$19+Multiplex_EEM_Savings_16CTZ!$FN$39</f>
        <v>2.643406175529292E-2</v>
      </c>
      <c r="BJ47" s="230">
        <f>'Cooling Load'!$I$19+Multiplex_EEM_Savings_16CTZ!$FP$39</f>
        <v>7.994209139788884E-3</v>
      </c>
      <c r="BK47" s="230">
        <f>'Cooling Load'!$F$19+Multiplex_EEM_Savings_16CTZ!$FN$38</f>
        <v>3.7683477180283795E-2</v>
      </c>
      <c r="BL47" s="230">
        <f>'Cooling Load'!$I$19+Multiplex_EEM_Savings_16CTZ!$FP$38</f>
        <v>8.8451046429127329E-3</v>
      </c>
    </row>
    <row r="48" spans="2:64" s="240" customFormat="1" ht="13.8" thickBot="1" x14ac:dyDescent="0.3">
      <c r="B48" s="241">
        <v>16</v>
      </c>
      <c r="C48" s="242" t="s">
        <v>226</v>
      </c>
      <c r="D48" s="243" t="str">
        <f t="shared" si="3"/>
        <v>/Fixture</v>
      </c>
      <c r="E48" s="244">
        <f>Multiplex_EEM_Savings_16CTZ!$GC$21</f>
        <v>6.0516549204473441E-2</v>
      </c>
      <c r="F48" s="245">
        <f>Multiplex_EEM_Savings_16CTZ!$GG$21</f>
        <v>285.82381858780349</v>
      </c>
      <c r="G48" s="246">
        <f>Multiplex_EEM_Savings_16CTZ!$GC$22</f>
        <v>6.1919800290524629E-2</v>
      </c>
      <c r="H48" s="247">
        <f>Multiplex_EEM_Savings_16CTZ!$GG$22</f>
        <v>292.09078339353755</v>
      </c>
      <c r="I48" s="244">
        <f>Multiplex_EEM_Savings_16CTZ!$GC$24</f>
        <v>4.5516309409302194E-2</v>
      </c>
      <c r="J48" s="245">
        <f>Multiplex_EEM_Savings_16CTZ!$GG$24</f>
        <v>213.18102989918867</v>
      </c>
      <c r="K48" s="248">
        <f>Multiplex_EEM_Savings_16CTZ!$GC$25</f>
        <v>4.8346509626798706E-2</v>
      </c>
      <c r="L48" s="247">
        <f>Multiplex_EEM_Savings_16CTZ!$GG$25</f>
        <v>224.07791580875289</v>
      </c>
      <c r="M48" s="244">
        <f>Multiplex_EEM_Savings_16CTZ!$GC$26</f>
        <v>3.1088634611139806E-2</v>
      </c>
      <c r="N48" s="245">
        <f>Multiplex_EEM_Savings_16CTZ!$GG$26</f>
        <v>147.78176029316211</v>
      </c>
      <c r="O48" s="248">
        <f>Multiplex_EEM_Savings_16CTZ!$GC$27</f>
        <v>3.1472982788824516E-2</v>
      </c>
      <c r="P48" s="247">
        <f>Multiplex_EEM_Savings_16CTZ!$GG$27</f>
        <v>150.20746590412148</v>
      </c>
      <c r="Q48" s="244">
        <f>Multiplex_EEM_Savings_16CTZ!$GC$29</f>
        <v>8.0989032335393417E-3</v>
      </c>
      <c r="R48" s="245">
        <f>Multiplex_EEM_Savings_16CTZ!$GG$29</f>
        <v>39.502375393832274</v>
      </c>
      <c r="S48" s="246">
        <f>Multiplex_EEM_Savings_16CTZ!$GC$30</f>
        <v>8.490578690654246E-3</v>
      </c>
      <c r="T48" s="249">
        <f>Multiplex_EEM_Savings_16CTZ!$GG$30</f>
        <v>41.959633079041375</v>
      </c>
      <c r="U48" s="244">
        <f>Multiplex_EEM_Savings_16CTZ!$GC$32</f>
        <v>3.2463641959986564E-2</v>
      </c>
      <c r="V48" s="245">
        <f>Multiplex_EEM_Savings_16CTZ!$GG$32</f>
        <v>77.223176135653588</v>
      </c>
      <c r="W48" s="246">
        <f>Multiplex_EEM_Savings_16CTZ!$GC$33</f>
        <v>3.1101729647742764E-2</v>
      </c>
      <c r="X48" s="247">
        <f>Multiplex_EEM_Savings_16CTZ!$GG$33</f>
        <v>70.383734674128235</v>
      </c>
      <c r="Y48" s="248">
        <f>Multiplex_EEM_Savings_16CTZ!$GC$37</f>
        <v>5.5125753594540271E-2</v>
      </c>
      <c r="Z48" s="245">
        <f>Multiplex_EEM_Savings_16CTZ!$GG$37</f>
        <v>254.99154983766863</v>
      </c>
      <c r="AA48" s="246">
        <f>Multiplex_EEM_Savings_16CTZ!$GC$38</f>
        <v>5.866436025718115E-2</v>
      </c>
      <c r="AB48" s="245">
        <f>Multiplex_EEM_Savings_16CTZ!$GG$38</f>
        <v>266.65270316186582</v>
      </c>
      <c r="AC48" s="244">
        <f>Multiplex_EEM_Savings_16CTZ!$GC$39</f>
        <v>1.7708347418777411E-2</v>
      </c>
      <c r="AD48" s="245">
        <f>Multiplex_EEM_Savings_16CTZ!$GG$39</f>
        <v>83.111876200530006</v>
      </c>
      <c r="AE48" s="248">
        <f>Multiplex_EEM_Savings_16CTZ!$GC$40</f>
        <v>1.8808429321036685E-2</v>
      </c>
      <c r="AF48" s="247">
        <f>Multiplex_EEM_Savings_16CTZ!$GG$40</f>
        <v>87.454836942627267</v>
      </c>
      <c r="AG48" s="246">
        <f>Multiplex_EEM_Savings_16CTZ!$GC$42</f>
        <v>1.9311480712121618E-2</v>
      </c>
      <c r="AH48" s="245">
        <f>Multiplex_EEM_Savings_16CTZ!$GG$42</f>
        <v>88.530916142257936</v>
      </c>
      <c r="AI48" s="246">
        <f>Multiplex_EEM_Savings_16CTZ!$GC$43</f>
        <v>2.152334488172148E-2</v>
      </c>
      <c r="AJ48" s="245">
        <f>Multiplex_EEM_Savings_16CTZ!$GG$43</f>
        <v>96.132000684593478</v>
      </c>
      <c r="AK48" s="248">
        <f>Multiplex_EEM_Savings_16CTZ!$GC$45</f>
        <v>-1.8536358040013436E-2</v>
      </c>
      <c r="AL48" s="245">
        <f>Multiplex_EEM_Savings_16CTZ!$GG$45</f>
        <v>-177.7857367663234</v>
      </c>
      <c r="AM48" s="246">
        <f>Multiplex_EEM_Savings_16CTZ!$GC$46</f>
        <v>-1.9898270352257233E-2</v>
      </c>
      <c r="AN48" s="247">
        <f>Multiplex_EEM_Savings_16CTZ!$GG$46</f>
        <v>-193.70708923149306</v>
      </c>
      <c r="AO48" s="230">
        <f>'Cooling Load'!$C$19+Multiplex_EEM_Savings_16CTZ!$FY$21</f>
        <v>7.774663578032584E-2</v>
      </c>
      <c r="AP48" s="230">
        <f>'Cooling Load'!$G$19+Multiplex_EEM_Savings_16CTZ!$GA$21</f>
        <v>1.7230086575852399E-2</v>
      </c>
      <c r="AQ48" s="230">
        <f>'Cooling Load'!$C$19+Multiplex_EEM_Savings_16CTZ!$FY$22</f>
        <v>8.0420085656800297E-2</v>
      </c>
      <c r="AR48" s="230">
        <f>'Cooling Load'!$G$19+Multiplex_EEM_Savings_16CTZ!$GA$22</f>
        <v>1.8500285366275668E-2</v>
      </c>
      <c r="AS48" s="230">
        <f>'Cooling Load'!$D$19+Multiplex_EEM_Savings_16CTZ!$FY$24</f>
        <v>6.2746395985154593E-2</v>
      </c>
      <c r="AT48" s="230">
        <f>'Cooling Load'!$H$19+Multiplex_EEM_Savings_16CTZ!$GA$24</f>
        <v>1.7230086575852399E-2</v>
      </c>
      <c r="AU48" s="230">
        <f>'Cooling Load'!$D$19+Multiplex_EEM_Savings_16CTZ!$FY$25</f>
        <v>6.6846794993074374E-2</v>
      </c>
      <c r="AV48" s="230">
        <f>'Cooling Load'!$H$19+Multiplex_EEM_Savings_16CTZ!$GA$25</f>
        <v>1.8500285366275668E-2</v>
      </c>
      <c r="AW48" s="230">
        <f>'Cooling Load'!$E$19+Multiplex_EEM_Savings_16CTZ!$FY$26</f>
        <v>4.8318721186992201E-2</v>
      </c>
      <c r="AX48" s="230">
        <f>'Cooling Load'!$G$19+Multiplex_EEM_Savings_16CTZ!$GA$26</f>
        <v>1.7230086575852399E-2</v>
      </c>
      <c r="AY48" s="230">
        <f>'Cooling Load'!$E$19+Multiplex_EEM_Savings_16CTZ!$FY$27</f>
        <v>4.9973268155100184E-2</v>
      </c>
      <c r="AZ48" s="230">
        <f>'Cooling Load'!$G$19+Multiplex_EEM_Savings_16CTZ!$GA$27</f>
        <v>1.8500285366275668E-2</v>
      </c>
      <c r="BA48" s="230">
        <f>'Cooling Load'!$F$19+Multiplex_EEM_Savings_16CTZ!$FY$29</f>
        <v>2.5328989809391741E-2</v>
      </c>
      <c r="BB48" s="230">
        <f>'Cooling Load'!$H$19+Multiplex_EEM_Savings_16CTZ!$GA$29</f>
        <v>1.7230086575852399E-2</v>
      </c>
      <c r="BC48" s="230">
        <f>'Cooling Load'!$F$19+Multiplex_EEM_Savings_16CTZ!$FY$38</f>
        <v>3.2846794993074371E-2</v>
      </c>
      <c r="BD48" s="230">
        <f>'Cooling Load'!$H$19+Multiplex_EEM_Savings_16CTZ!$GA$38</f>
        <v>1.6799101402559895E-2</v>
      </c>
      <c r="BE48" s="230">
        <f>'Cooling Load'!$D$19+Multiplex_EEM_Savings_16CTZ!$FY$37</f>
        <v>6.2746395985154593E-2</v>
      </c>
      <c r="BF48" s="230">
        <f>'Cooling Load'!$I$19+Multiplex_EEM_Savings_16CTZ!$GA$37</f>
        <v>7.6206423906143295E-3</v>
      </c>
      <c r="BG48" s="230">
        <f>'Cooling Load'!$D$19+Multiplex_EEM_Savings_16CTZ!$FY$27</f>
        <v>6.0973268155100187E-2</v>
      </c>
      <c r="BH48" s="230">
        <f>'Cooling Load'!$I$19+Multiplex_EEM_Savings_16CTZ!$GA$27</f>
        <v>9.8836186996090029E-3</v>
      </c>
      <c r="BI48" s="230">
        <f>'Cooling Load'!$F$19+Multiplex_EEM_Savings_16CTZ!$FY$39</f>
        <v>2.5328989809391741E-2</v>
      </c>
      <c r="BJ48" s="230">
        <f>'Cooling Load'!$I$19+Multiplex_EEM_Savings_16CTZ!$GA$39</f>
        <v>7.6206423906143295E-3</v>
      </c>
      <c r="BK48" s="230">
        <f>'Cooling Load'!$F$19+Multiplex_EEM_Savings_16CTZ!$FY$38</f>
        <v>3.2846794993074371E-2</v>
      </c>
      <c r="BL48" s="230">
        <f>'Cooling Load'!$I$19+Multiplex_EEM_Savings_16CTZ!$GA$38</f>
        <v>8.1824347358932306E-3</v>
      </c>
    </row>
    <row r="49" spans="4:65" x14ac:dyDescent="0.25">
      <c r="AO49" s="295" t="s">
        <v>233</v>
      </c>
      <c r="AP49" s="294"/>
      <c r="AQ49" s="294"/>
      <c r="AR49" s="294"/>
      <c r="AS49" s="294"/>
      <c r="AT49" s="294"/>
      <c r="AU49" s="294"/>
      <c r="AV49" s="294"/>
      <c r="AW49" s="295" t="s">
        <v>234</v>
      </c>
      <c r="AX49" s="294"/>
      <c r="AY49" s="294"/>
      <c r="AZ49" s="294"/>
      <c r="BA49" s="294"/>
      <c r="BB49" s="294"/>
      <c r="BC49" s="294"/>
      <c r="BD49" s="294"/>
      <c r="BE49" s="295" t="s">
        <v>252</v>
      </c>
      <c r="BF49" s="294"/>
      <c r="BG49" s="294"/>
      <c r="BH49" s="294"/>
      <c r="BI49" s="295" t="s">
        <v>236</v>
      </c>
      <c r="BJ49" s="294"/>
    </row>
    <row r="50" spans="4:65" x14ac:dyDescent="0.25">
      <c r="E50" s="84" t="e">
        <f>MIN(#REF!,#REF!,G26,E26)</f>
        <v>#REF!</v>
      </c>
      <c r="F50" s="17" t="e">
        <f>MIN(#REF!,#REF!,H26,F26)</f>
        <v>#REF!</v>
      </c>
      <c r="I50" s="84"/>
      <c r="J50" s="17"/>
      <c r="M50" s="84"/>
      <c r="N50" s="17"/>
      <c r="Q50" s="84"/>
      <c r="R50" s="17"/>
      <c r="U50" s="84"/>
      <c r="V50" s="17"/>
      <c r="Y50" s="84"/>
      <c r="Z50" s="17"/>
      <c r="AC50" s="84" t="e">
        <f>MIN(#REF!,#REF!,AE26,AC26)</f>
        <v>#REF!</v>
      </c>
      <c r="AD50" s="17" t="e">
        <f>MIN(#REF!,#REF!,AF26,AD26)</f>
        <v>#REF!</v>
      </c>
      <c r="AG50" s="84" t="e">
        <f>MIN(#REF!,#REF!,AI26,AG26)</f>
        <v>#REF!</v>
      </c>
      <c r="AH50" s="17" t="e">
        <f>MIN(#REF!,#REF!,AJ26,AH26)</f>
        <v>#REF!</v>
      </c>
      <c r="AK50" s="84" t="e">
        <f>MIN(#REF!,#REF!,AM26,AK26)</f>
        <v>#REF!</v>
      </c>
      <c r="AL50" s="17" t="e">
        <f>MIN(#REF!,#REF!,AN26,AL26)</f>
        <v>#REF!</v>
      </c>
      <c r="AO50" s="302" t="s">
        <v>162</v>
      </c>
      <c r="AP50" s="303"/>
      <c r="AQ50" s="304" t="s">
        <v>162</v>
      </c>
      <c r="AR50" s="305"/>
      <c r="AS50" s="298" t="s">
        <v>163</v>
      </c>
      <c r="AT50" s="299"/>
      <c r="AU50" s="296" t="s">
        <v>163</v>
      </c>
      <c r="AV50" s="297"/>
      <c r="AW50" s="298" t="s">
        <v>164</v>
      </c>
      <c r="AX50" s="299"/>
      <c r="AY50" s="296" t="s">
        <v>164</v>
      </c>
      <c r="AZ50" s="297"/>
      <c r="BA50" s="298" t="s">
        <v>165</v>
      </c>
      <c r="BB50" s="299"/>
      <c r="BC50" s="296" t="s">
        <v>165</v>
      </c>
      <c r="BD50" s="297"/>
      <c r="BE50" s="298" t="s">
        <v>166</v>
      </c>
      <c r="BF50" s="299"/>
      <c r="BG50" s="296" t="s">
        <v>166</v>
      </c>
      <c r="BH50" s="297"/>
      <c r="BI50" s="298" t="s">
        <v>213</v>
      </c>
      <c r="BJ50" s="299"/>
    </row>
    <row r="51" spans="4:65" x14ac:dyDescent="0.25">
      <c r="E51" s="84" t="e">
        <f>MAX(#REF!,#REF!,G27,E27)</f>
        <v>#REF!</v>
      </c>
      <c r="F51" s="17" t="e">
        <f>MAX(#REF!,#REF!,H27,F27)</f>
        <v>#REF!</v>
      </c>
      <c r="I51" s="84"/>
      <c r="J51" s="17"/>
      <c r="M51" s="84"/>
      <c r="N51" s="17"/>
      <c r="Q51" s="84"/>
      <c r="R51" s="17"/>
      <c r="U51" s="84"/>
      <c r="V51" s="17"/>
      <c r="Y51" s="84"/>
      <c r="Z51" s="17"/>
      <c r="AC51" s="84" t="e">
        <f>MAX(#REF!,#REF!,AE27,AC27)</f>
        <v>#REF!</v>
      </c>
      <c r="AD51" s="17" t="e">
        <f>MAX(#REF!,#REF!,AF27,AD27)</f>
        <v>#REF!</v>
      </c>
      <c r="AG51" s="84" t="e">
        <f>MAX(#REF!,#REF!,AI27,AG27)</f>
        <v>#REF!</v>
      </c>
      <c r="AH51" s="17" t="e">
        <f>MAX(#REF!,#REF!,AJ27,AH27)</f>
        <v>#REF!</v>
      </c>
      <c r="AK51" s="84" t="e">
        <f>MAX(#REF!,#REF!,AM27,AK27)</f>
        <v>#REF!</v>
      </c>
      <c r="AL51" s="17" t="e">
        <f>MAX(#REF!,#REF!,AN27,AL27)</f>
        <v>#REF!</v>
      </c>
      <c r="AO51" s="301" t="s">
        <v>62</v>
      </c>
      <c r="AP51" s="301"/>
      <c r="AQ51" s="300" t="s">
        <v>63</v>
      </c>
      <c r="AR51" s="300"/>
      <c r="AS51" s="301" t="s">
        <v>62</v>
      </c>
      <c r="AT51" s="301"/>
      <c r="AU51" s="300" t="s">
        <v>63</v>
      </c>
      <c r="AV51" s="300"/>
      <c r="AW51" s="301" t="s">
        <v>62</v>
      </c>
      <c r="AX51" s="301"/>
      <c r="AY51" s="300" t="s">
        <v>63</v>
      </c>
      <c r="AZ51" s="300"/>
      <c r="BA51" s="301" t="s">
        <v>62</v>
      </c>
      <c r="BB51" s="301"/>
      <c r="BC51" s="300" t="s">
        <v>63</v>
      </c>
      <c r="BD51" s="300"/>
      <c r="BE51" s="301" t="s">
        <v>62</v>
      </c>
      <c r="BF51" s="301"/>
      <c r="BG51" s="300" t="s">
        <v>63</v>
      </c>
      <c r="BH51" s="300"/>
      <c r="BI51" s="301" t="s">
        <v>62</v>
      </c>
      <c r="BJ51" s="301"/>
    </row>
    <row r="52" spans="4:65" ht="26.4" x14ac:dyDescent="0.25">
      <c r="D52" s="17" t="s">
        <v>214</v>
      </c>
      <c r="AO52" s="163" t="s">
        <v>215</v>
      </c>
      <c r="AP52" s="163" t="s">
        <v>216</v>
      </c>
      <c r="AQ52" s="161" t="s">
        <v>215</v>
      </c>
      <c r="AR52" s="161" t="s">
        <v>216</v>
      </c>
      <c r="AS52" s="163" t="s">
        <v>217</v>
      </c>
      <c r="AT52" s="163" t="s">
        <v>216</v>
      </c>
      <c r="AU52" s="161" t="s">
        <v>217</v>
      </c>
      <c r="AV52" s="161" t="s">
        <v>216</v>
      </c>
      <c r="AW52" s="163" t="s">
        <v>218</v>
      </c>
      <c r="AX52" s="163" t="s">
        <v>219</v>
      </c>
      <c r="AY52" s="161" t="s">
        <v>218</v>
      </c>
      <c r="AZ52" s="161" t="s">
        <v>219</v>
      </c>
      <c r="BA52" s="163" t="s">
        <v>220</v>
      </c>
      <c r="BB52" s="163" t="s">
        <v>219</v>
      </c>
      <c r="BC52" s="161" t="s">
        <v>220</v>
      </c>
      <c r="BD52" s="161" t="s">
        <v>219</v>
      </c>
      <c r="BE52" s="163" t="s">
        <v>217</v>
      </c>
      <c r="BF52" s="163" t="s">
        <v>216</v>
      </c>
      <c r="BG52" s="161" t="s">
        <v>217</v>
      </c>
      <c r="BH52" s="161" t="s">
        <v>216</v>
      </c>
      <c r="BI52" s="163" t="s">
        <v>220</v>
      </c>
      <c r="BJ52" s="163" t="s">
        <v>216</v>
      </c>
    </row>
    <row r="53" spans="4:65" ht="13.8" x14ac:dyDescent="0.3">
      <c r="D53">
        <v>1</v>
      </c>
      <c r="AO53" s="159">
        <f t="shared" ref="AO53:AP68" si="4">AO7</f>
        <v>7.9015941811614324E-2</v>
      </c>
      <c r="AP53" s="159">
        <f t="shared" si="4"/>
        <v>1.7833154170201964E-2</v>
      </c>
      <c r="AQ53" s="159">
        <f t="shared" ref="AQ53:AV62" si="5">AQ12</f>
        <v>8.2157756302643103E-2</v>
      </c>
      <c r="AR53" s="159">
        <f t="shared" si="5"/>
        <v>1.932588047913944E-2</v>
      </c>
      <c r="AS53" s="159">
        <f t="shared" si="5"/>
        <v>6.6762885072258027E-2</v>
      </c>
      <c r="AT53" s="159">
        <f t="shared" si="5"/>
        <v>1.8474292217872407E-2</v>
      </c>
      <c r="AU53" s="159">
        <f t="shared" si="5"/>
        <v>6.9511944265183145E-2</v>
      </c>
      <c r="AV53" s="159">
        <f t="shared" si="5"/>
        <v>1.9325880479139437E-2</v>
      </c>
      <c r="AW53" s="159">
        <f>AW7</f>
        <v>4.9104270399696739E-2</v>
      </c>
      <c r="AX53" s="159">
        <f t="shared" ref="AX53:BJ53" si="6">AX7</f>
        <v>1.7833154170201967E-2</v>
      </c>
      <c r="AY53" s="159">
        <f t="shared" si="6"/>
        <v>4.9817819322489659E-2</v>
      </c>
      <c r="AZ53" s="159">
        <f t="shared" si="6"/>
        <v>1.8380947007824361E-2</v>
      </c>
      <c r="BA53" s="159">
        <f t="shared" si="6"/>
        <v>2.6118017882895396E-2</v>
      </c>
      <c r="BB53" s="159">
        <f t="shared" si="6"/>
        <v>1.7833154170201967E-2</v>
      </c>
      <c r="BC53" s="159">
        <f t="shared" si="6"/>
        <v>3.2461552233996119E-2</v>
      </c>
      <c r="BD53" s="159">
        <f t="shared" si="6"/>
        <v>1.6746319604323611E-2</v>
      </c>
      <c r="BE53" s="159">
        <f t="shared" si="6"/>
        <v>6.4693191860118002E-2</v>
      </c>
      <c r="BF53" s="159">
        <f t="shared" si="6"/>
        <v>7.887371315839057E-3</v>
      </c>
      <c r="BG53" s="159">
        <f t="shared" si="6"/>
        <v>6.0817819322489662E-2</v>
      </c>
      <c r="BH53" s="159">
        <f t="shared" si="6"/>
        <v>9.764280341157696E-3</v>
      </c>
      <c r="BI53" s="159">
        <f t="shared" si="6"/>
        <v>2.6118017882895396E-2</v>
      </c>
      <c r="BJ53" s="159">
        <f t="shared" si="6"/>
        <v>7.887371315839057E-3</v>
      </c>
      <c r="BM53" s="255"/>
    </row>
    <row r="54" spans="4:65" ht="13.8" x14ac:dyDescent="0.3">
      <c r="D54">
        <v>2</v>
      </c>
      <c r="AC54">
        <v>16.600000000000001</v>
      </c>
      <c r="AD54">
        <f>AC54*1.6</f>
        <v>26.560000000000002</v>
      </c>
      <c r="AO54" s="159">
        <f t="shared" si="4"/>
        <v>8.1409902017750016E-2</v>
      </c>
      <c r="AP54" s="159">
        <f t="shared" si="4"/>
        <v>1.8970562948617133E-2</v>
      </c>
      <c r="AQ54" s="159">
        <f t="shared" si="5"/>
        <v>8.1770046838188462E-2</v>
      </c>
      <c r="AR54" s="159">
        <f t="shared" si="5"/>
        <v>1.9141673512283797E-2</v>
      </c>
      <c r="AS54" s="159">
        <f t="shared" si="5"/>
        <v>6.6345339004813181E-2</v>
      </c>
      <c r="AT54" s="159">
        <f t="shared" si="5"/>
        <v>1.8344947120287992E-2</v>
      </c>
      <c r="AU54" s="159">
        <f t="shared" si="5"/>
        <v>6.891729556149867E-2</v>
      </c>
      <c r="AV54" s="159">
        <f t="shared" si="5"/>
        <v>1.9141673512283797E-2</v>
      </c>
      <c r="AW54" s="159">
        <f t="shared" ref="AW54:BJ54" si="7">AW8</f>
        <v>5.0585846559282832E-2</v>
      </c>
      <c r="AX54" s="159">
        <f t="shared" si="7"/>
        <v>1.8970562948617133E-2</v>
      </c>
      <c r="AY54" s="159">
        <f t="shared" si="7"/>
        <v>5.1934148657810111E-2</v>
      </c>
      <c r="AZ54" s="159">
        <f t="shared" si="7"/>
        <v>2.000565698202068E-2</v>
      </c>
      <c r="BA54" s="159">
        <f t="shared" si="7"/>
        <v>2.760615530833109E-2</v>
      </c>
      <c r="BB54" s="159">
        <f t="shared" si="7"/>
        <v>1.8970562948617133E-2</v>
      </c>
      <c r="BC54" s="159">
        <f t="shared" si="7"/>
        <v>3.770636841283375E-2</v>
      </c>
      <c r="BD54" s="159">
        <f t="shared" si="7"/>
        <v>1.7464907618800946E-2</v>
      </c>
      <c r="BE54" s="159">
        <f t="shared" si="7"/>
        <v>6.8364924081700945E-2</v>
      </c>
      <c r="BF54" s="159">
        <f t="shared" si="7"/>
        <v>8.3904323720960343E-3</v>
      </c>
      <c r="BG54" s="159">
        <f t="shared" si="7"/>
        <v>6.2934148657810107E-2</v>
      </c>
      <c r="BH54" s="159">
        <f t="shared" si="7"/>
        <v>1.1388990315354014E-2</v>
      </c>
      <c r="BI54" s="159">
        <f t="shared" si="7"/>
        <v>2.760615530833109E-2</v>
      </c>
      <c r="BJ54" s="159">
        <f t="shared" si="7"/>
        <v>8.3904323720960343E-3</v>
      </c>
      <c r="BM54" s="255"/>
    </row>
    <row r="55" spans="4:65" ht="14.4" x14ac:dyDescent="0.3">
      <c r="D55">
        <v>3</v>
      </c>
      <c r="AC55">
        <v>6</v>
      </c>
      <c r="AD55">
        <f>AC55*1.6</f>
        <v>9.6000000000000014</v>
      </c>
      <c r="AO55" s="159">
        <f t="shared" si="4"/>
        <v>8.0655222425508474E-2</v>
      </c>
      <c r="AP55" s="159">
        <f t="shared" si="4"/>
        <v>1.8612002605422499E-2</v>
      </c>
      <c r="AQ55" s="159">
        <f t="shared" si="5"/>
        <v>8.2563366106868791E-2</v>
      </c>
      <c r="AR55" s="159">
        <f t="shared" si="5"/>
        <v>1.9518592183684545E-2</v>
      </c>
      <c r="AS55" s="159">
        <f t="shared" si="5"/>
        <v>6.7207435595174572E-2</v>
      </c>
      <c r="AT55" s="159">
        <f t="shared" si="5"/>
        <v>1.8612002605422499E-2</v>
      </c>
      <c r="AU55" s="159">
        <f t="shared" si="5"/>
        <v>7.0134047583253506E-2</v>
      </c>
      <c r="AV55" s="159">
        <f t="shared" si="5"/>
        <v>1.9518592183684545E-2</v>
      </c>
      <c r="AW55" s="159">
        <f t="shared" ref="AW55:BJ55" si="8">AW9</f>
        <v>5.0118789801561668E-2</v>
      </c>
      <c r="AX55" s="159">
        <f t="shared" si="8"/>
        <v>1.8612002605422499E-2</v>
      </c>
      <c r="AY55" s="159">
        <f t="shared" si="8"/>
        <v>5.1299703410786504E-2</v>
      </c>
      <c r="AZ55" s="159">
        <f t="shared" si="8"/>
        <v>1.9518592183684545E-2</v>
      </c>
      <c r="BA55" s="159">
        <f t="shared" si="8"/>
        <v>2.7137030156397159E-2</v>
      </c>
      <c r="BB55" s="159">
        <f t="shared" si="8"/>
        <v>1.8612002605422499E-2</v>
      </c>
      <c r="BC55" s="159">
        <f t="shared" si="8"/>
        <v>3.6134047583253504E-2</v>
      </c>
      <c r="BD55" s="159">
        <f t="shared" si="8"/>
        <v>1.7249485216084857E-2</v>
      </c>
      <c r="BE55" s="159">
        <f t="shared" si="8"/>
        <v>6.7207435595174572E-2</v>
      </c>
      <c r="BF55" s="159">
        <f t="shared" si="8"/>
        <v>8.231845812538538E-3</v>
      </c>
      <c r="BG55" s="159">
        <f t="shared" si="8"/>
        <v>6.2299703410786507E-2</v>
      </c>
      <c r="BH55" s="159">
        <f t="shared" si="8"/>
        <v>1.0901925517017878E-2</v>
      </c>
      <c r="BI55" s="159">
        <f t="shared" si="8"/>
        <v>2.7137030156397159E-2</v>
      </c>
      <c r="BJ55" s="159">
        <f t="shared" si="8"/>
        <v>8.231845812538538E-3</v>
      </c>
      <c r="BL55" s="256" t="s">
        <v>243</v>
      </c>
      <c r="BM55" s="255" t="s">
        <v>237</v>
      </c>
    </row>
    <row r="56" spans="4:65" ht="14.4" x14ac:dyDescent="0.3">
      <c r="D56">
        <v>4</v>
      </c>
      <c r="AO56" s="159">
        <f t="shared" si="4"/>
        <v>8.0556551203521676E-2</v>
      </c>
      <c r="AP56" s="159">
        <f t="shared" si="4"/>
        <v>1.8565122329895326E-2</v>
      </c>
      <c r="AQ56" s="159">
        <f t="shared" si="5"/>
        <v>8.3588515347101405E-2</v>
      </c>
      <c r="AR56" s="159">
        <f t="shared" si="5"/>
        <v>2.0005656982020684E-2</v>
      </c>
      <c r="AS56" s="159">
        <f t="shared" si="5"/>
        <v>6.8364924081700945E-2</v>
      </c>
      <c r="AT56" s="159">
        <f t="shared" si="5"/>
        <v>1.8970562948617133E-2</v>
      </c>
      <c r="AU56" s="159">
        <f t="shared" si="5"/>
        <v>7.1706368412833746E-2</v>
      </c>
      <c r="AV56" s="159">
        <f t="shared" si="5"/>
        <v>2.000565698202068E-2</v>
      </c>
      <c r="AW56" s="159">
        <f t="shared" ref="AW56:BJ56" si="9">AW10</f>
        <v>5.0057724070494719E-2</v>
      </c>
      <c r="AX56" s="159">
        <f t="shared" si="9"/>
        <v>1.8565122329895326E-2</v>
      </c>
      <c r="AY56" s="159">
        <f t="shared" si="9"/>
        <v>5.1214745706172217E-2</v>
      </c>
      <c r="AZ56" s="159">
        <f t="shared" si="9"/>
        <v>1.9453369995545873E-2</v>
      </c>
      <c r="BA56" s="159">
        <f t="shared" si="9"/>
        <v>2.7075693991378338E-2</v>
      </c>
      <c r="BB56" s="159">
        <f t="shared" si="9"/>
        <v>1.8565122329895326E-2</v>
      </c>
      <c r="BC56" s="159">
        <f t="shared" si="9"/>
        <v>3.5923500228339837E-2</v>
      </c>
      <c r="BD56" s="159">
        <f t="shared" si="9"/>
        <v>1.7220638293607128E-2</v>
      </c>
      <c r="BE56" s="159">
        <f t="shared" si="9"/>
        <v>6.7056098783399964E-2</v>
      </c>
      <c r="BF56" s="159">
        <f t="shared" si="9"/>
        <v>8.2111112785944809E-3</v>
      </c>
      <c r="BG56" s="159">
        <f t="shared" si="9"/>
        <v>6.221474570617222E-2</v>
      </c>
      <c r="BH56" s="159">
        <f t="shared" si="9"/>
        <v>1.0836703328879208E-2</v>
      </c>
      <c r="BI56" s="159">
        <f t="shared" si="9"/>
        <v>2.7075693991378338E-2</v>
      </c>
      <c r="BJ56" s="159">
        <f t="shared" si="9"/>
        <v>8.2111112785944809E-3</v>
      </c>
      <c r="BL56" s="256" t="s">
        <v>244</v>
      </c>
      <c r="BM56" s="255" t="s">
        <v>238</v>
      </c>
    </row>
    <row r="57" spans="4:65" x14ac:dyDescent="0.25">
      <c r="D57">
        <v>5</v>
      </c>
      <c r="AO57" s="159">
        <f t="shared" si="4"/>
        <v>8.009313760923592E-2</v>
      </c>
      <c r="AP57" s="159">
        <f t="shared" si="4"/>
        <v>1.8344947120287995E-2</v>
      </c>
      <c r="AQ57" s="159">
        <f t="shared" si="5"/>
        <v>8.4232546863116528E-2</v>
      </c>
      <c r="AR57" s="159">
        <f t="shared" si="5"/>
        <v>2.03116466547037E-2</v>
      </c>
      <c r="AS57" s="159">
        <f t="shared" si="5"/>
        <v>6.9114298657734705E-2</v>
      </c>
      <c r="AT57" s="159">
        <f t="shared" si="5"/>
        <v>1.9202700035328344E-2</v>
      </c>
      <c r="AU57" s="159">
        <f t="shared" si="5"/>
        <v>7.2694150608630867E-2</v>
      </c>
      <c r="AV57" s="159">
        <f t="shared" si="5"/>
        <v>2.0311646654703697E-2</v>
      </c>
      <c r="AW57" s="159">
        <f t="shared" ref="AW57:BJ57" si="10">AW11</f>
        <v>4.9770926265100053E-2</v>
      </c>
      <c r="AX57" s="159">
        <f t="shared" si="10"/>
        <v>1.8344947120287992E-2</v>
      </c>
      <c r="AY57" s="159">
        <f t="shared" si="10"/>
        <v>5.0808733296745075E-2</v>
      </c>
      <c r="AZ57" s="159">
        <f t="shared" si="10"/>
        <v>1.9141673512283797E-2</v>
      </c>
      <c r="BA57" s="159">
        <f t="shared" si="10"/>
        <v>2.6787626081416927E-2</v>
      </c>
      <c r="BB57" s="159">
        <f t="shared" si="10"/>
        <v>1.8344947120287992E-2</v>
      </c>
      <c r="BC57" s="159">
        <f t="shared" si="10"/>
        <v>3.4917295561498668E-2</v>
      </c>
      <c r="BD57" s="159">
        <f t="shared" si="10"/>
        <v>1.7082779007590459E-2</v>
      </c>
      <c r="BE57" s="159">
        <f t="shared" si="10"/>
        <v>6.6345339004813181E-2</v>
      </c>
      <c r="BF57" s="159">
        <f t="shared" si="10"/>
        <v>8.1137306573010534E-3</v>
      </c>
      <c r="BG57" s="159">
        <f t="shared" si="10"/>
        <v>6.1808733296745078E-2</v>
      </c>
      <c r="BH57" s="159">
        <f t="shared" si="10"/>
        <v>1.052500684561713E-2</v>
      </c>
      <c r="BI57" s="159">
        <f t="shared" si="10"/>
        <v>2.6787626081416927E-2</v>
      </c>
      <c r="BJ57" s="159">
        <f t="shared" si="10"/>
        <v>8.1137306573010534E-3</v>
      </c>
      <c r="BL57" t="s">
        <v>250</v>
      </c>
      <c r="BM57" t="s">
        <v>251</v>
      </c>
    </row>
    <row r="58" spans="4:65" x14ac:dyDescent="0.25">
      <c r="D58">
        <v>6</v>
      </c>
      <c r="AO58" s="159">
        <f t="shared" si="4"/>
        <v>8.0365376598728583E-2</v>
      </c>
      <c r="AP58" s="159">
        <f t="shared" si="4"/>
        <v>1.8474292217872407E-2</v>
      </c>
      <c r="AQ58" s="159">
        <f t="shared" si="5"/>
        <v>8.4928733396197359E-2</v>
      </c>
      <c r="AR58" s="159">
        <f t="shared" si="5"/>
        <v>2.0642416010063513E-2</v>
      </c>
      <c r="AS58" s="159">
        <f t="shared" si="5"/>
        <v>6.9939519616486673E-2</v>
      </c>
      <c r="AT58" s="159">
        <f t="shared" si="5"/>
        <v>1.9458332392475568E-2</v>
      </c>
      <c r="AU58" s="159">
        <f t="shared" si="5"/>
        <v>7.3761925469379777E-2</v>
      </c>
      <c r="AV58" s="159">
        <f t="shared" si="5"/>
        <v>2.0642416010063509E-2</v>
      </c>
      <c r="AW58" s="159">
        <f t="shared" ref="AW58:BJ58" si="11">AW12</f>
        <v>4.9939409765998852E-2</v>
      </c>
      <c r="AX58" s="159">
        <f t="shared" si="11"/>
        <v>1.8474292217872407E-2</v>
      </c>
      <c r="AY58" s="159">
        <f t="shared" si="11"/>
        <v>5.1048679264898457E-2</v>
      </c>
      <c r="AZ58" s="159">
        <f t="shared" si="11"/>
        <v>1.9325880479139437E-2</v>
      </c>
      <c r="BA58" s="159">
        <f t="shared" si="11"/>
        <v>2.6956855723533985E-2</v>
      </c>
      <c r="BB58" s="159">
        <f t="shared" si="11"/>
        <v>1.8474292217872407E-2</v>
      </c>
      <c r="BC58" s="159">
        <f t="shared" si="11"/>
        <v>3.5511944265183143E-2</v>
      </c>
      <c r="BD58" s="159">
        <f t="shared" si="11"/>
        <v>1.7164251344603202E-2</v>
      </c>
      <c r="BE58" s="159">
        <f t="shared" si="11"/>
        <v>6.6762885072258027E-2</v>
      </c>
      <c r="BF58" s="159">
        <f t="shared" si="11"/>
        <v>8.1709383056393602E-3</v>
      </c>
      <c r="BG58" s="159">
        <f t="shared" si="11"/>
        <v>6.204867926489846E-2</v>
      </c>
      <c r="BH58" s="159">
        <f t="shared" si="11"/>
        <v>1.0709213812472772E-2</v>
      </c>
      <c r="BI58" s="159">
        <f t="shared" si="11"/>
        <v>2.6956855723533985E-2</v>
      </c>
      <c r="BJ58" s="159">
        <f t="shared" si="11"/>
        <v>8.1709383056393602E-3</v>
      </c>
    </row>
    <row r="59" spans="4:65" x14ac:dyDescent="0.25">
      <c r="D59">
        <v>7</v>
      </c>
      <c r="AO59" s="159">
        <f t="shared" si="4"/>
        <v>8.009313760923592E-2</v>
      </c>
      <c r="AP59" s="159">
        <f t="shared" si="4"/>
        <v>1.8344947120287995E-2</v>
      </c>
      <c r="AQ59" s="159">
        <f t="shared" si="5"/>
        <v>8.4232546863116528E-2</v>
      </c>
      <c r="AR59" s="159">
        <f t="shared" si="5"/>
        <v>2.03116466547037E-2</v>
      </c>
      <c r="AS59" s="159">
        <f t="shared" si="5"/>
        <v>6.9114298657734705E-2</v>
      </c>
      <c r="AT59" s="159">
        <f t="shared" si="5"/>
        <v>1.9202700035328344E-2</v>
      </c>
      <c r="AU59" s="159">
        <f t="shared" si="5"/>
        <v>7.2694150608630867E-2</v>
      </c>
      <c r="AV59" s="159">
        <f t="shared" si="5"/>
        <v>2.0311646654703697E-2</v>
      </c>
      <c r="AW59" s="159">
        <f t="shared" ref="AW59:BJ59" si="12">AW13</f>
        <v>4.9770926265100053E-2</v>
      </c>
      <c r="AX59" s="159">
        <f t="shared" si="12"/>
        <v>1.8344947120287992E-2</v>
      </c>
      <c r="AY59" s="159">
        <f t="shared" si="12"/>
        <v>5.0808733296745075E-2</v>
      </c>
      <c r="AZ59" s="159">
        <f t="shared" si="12"/>
        <v>1.9141673512283797E-2</v>
      </c>
      <c r="BA59" s="159">
        <f t="shared" si="12"/>
        <v>2.6787626081416927E-2</v>
      </c>
      <c r="BB59" s="159">
        <f t="shared" si="12"/>
        <v>1.8344947120287992E-2</v>
      </c>
      <c r="BC59" s="159">
        <f t="shared" si="12"/>
        <v>3.4917295561498668E-2</v>
      </c>
      <c r="BD59" s="159">
        <f t="shared" si="12"/>
        <v>1.7082779007590459E-2</v>
      </c>
      <c r="BE59" s="159">
        <f t="shared" si="12"/>
        <v>6.6345339004813181E-2</v>
      </c>
      <c r="BF59" s="159">
        <f t="shared" si="12"/>
        <v>8.1137306573010534E-3</v>
      </c>
      <c r="BG59" s="159">
        <f t="shared" si="12"/>
        <v>6.1808733296745078E-2</v>
      </c>
      <c r="BH59" s="159">
        <f t="shared" si="12"/>
        <v>1.052500684561713E-2</v>
      </c>
      <c r="BI59" s="159">
        <f t="shared" si="12"/>
        <v>2.6787626081416927E-2</v>
      </c>
      <c r="BJ59" s="159">
        <f t="shared" si="12"/>
        <v>8.1137306573010534E-3</v>
      </c>
    </row>
    <row r="60" spans="4:65" x14ac:dyDescent="0.25">
      <c r="D60">
        <v>8</v>
      </c>
      <c r="AO60" s="159">
        <f t="shared" si="4"/>
        <v>8.0655222425508474E-2</v>
      </c>
      <c r="AP60" s="159">
        <f t="shared" si="4"/>
        <v>1.8612002605422499E-2</v>
      </c>
      <c r="AQ60" s="159">
        <f t="shared" si="5"/>
        <v>8.4401319172099351E-2</v>
      </c>
      <c r="AR60" s="159">
        <f t="shared" si="5"/>
        <v>2.0391833077727132E-2</v>
      </c>
      <c r="AS60" s="159">
        <f t="shared" si="5"/>
        <v>5.7000000000000002E-2</v>
      </c>
      <c r="AT60" s="159">
        <f t="shared" si="5"/>
        <v>1.9264273402433627E-2</v>
      </c>
      <c r="AU60" s="159">
        <f t="shared" si="5"/>
        <v>7.2953004838293908E-2</v>
      </c>
      <c r="AV60" s="159">
        <f t="shared" si="5"/>
        <v>2.0391833077727135E-2</v>
      </c>
      <c r="AW60" s="159">
        <f t="shared" ref="AW60:BJ60" si="13">AW14</f>
        <v>5.0118789801561668E-2</v>
      </c>
      <c r="AX60" s="159">
        <f t="shared" si="13"/>
        <v>1.8612002605422499E-2</v>
      </c>
      <c r="AY60" s="159">
        <f t="shared" si="13"/>
        <v>5.1299703410786504E-2</v>
      </c>
      <c r="AZ60" s="159">
        <f t="shared" si="13"/>
        <v>1.9518592183684545E-2</v>
      </c>
      <c r="BA60" s="159">
        <f t="shared" si="13"/>
        <v>2.7137030156397159E-2</v>
      </c>
      <c r="BB60" s="159">
        <f t="shared" si="13"/>
        <v>1.8612002605422499E-2</v>
      </c>
      <c r="BC60" s="159">
        <f t="shared" si="13"/>
        <v>3.6134047583253504E-2</v>
      </c>
      <c r="BD60" s="159">
        <f t="shared" si="13"/>
        <v>1.7249485216084857E-2</v>
      </c>
      <c r="BE60" s="159">
        <f t="shared" si="13"/>
        <v>6.7207435595174572E-2</v>
      </c>
      <c r="BF60" s="159">
        <f t="shared" si="13"/>
        <v>8.231845812538538E-3</v>
      </c>
      <c r="BG60" s="159">
        <f t="shared" si="13"/>
        <v>6.2299703410786507E-2</v>
      </c>
      <c r="BH60" s="159">
        <f t="shared" si="13"/>
        <v>1.0901925517017878E-2</v>
      </c>
      <c r="BI60" s="159">
        <f t="shared" si="13"/>
        <v>2.7137030156397159E-2</v>
      </c>
      <c r="BJ60" s="159">
        <f t="shared" si="13"/>
        <v>8.231845812538538E-3</v>
      </c>
    </row>
    <row r="61" spans="4:65" x14ac:dyDescent="0.25">
      <c r="D61">
        <v>9</v>
      </c>
      <c r="AO61" s="159">
        <f t="shared" si="4"/>
        <v>8.1409902017750016E-2</v>
      </c>
      <c r="AP61" s="159">
        <f t="shared" si="4"/>
        <v>1.8970562948617133E-2</v>
      </c>
      <c r="AQ61" s="159">
        <f t="shared" si="5"/>
        <v>8.4749235820097926E-2</v>
      </c>
      <c r="AR61" s="159">
        <f t="shared" si="5"/>
        <v>2.0557133841113309E-2</v>
      </c>
      <c r="AS61" s="159">
        <f t="shared" si="5"/>
        <v>6.9725491902046383E-2</v>
      </c>
      <c r="AT61" s="159">
        <f t="shared" si="5"/>
        <v>1.9392032077927147E-2</v>
      </c>
      <c r="AU61" s="159">
        <f t="shared" si="5"/>
        <v>7.3486621380292966E-2</v>
      </c>
      <c r="AV61" s="159">
        <f t="shared" si="5"/>
        <v>2.0557133841113309E-2</v>
      </c>
      <c r="AW61" s="159">
        <f t="shared" ref="AW61:BJ61" si="14">AW15</f>
        <v>5.0585846559282832E-2</v>
      </c>
      <c r="AX61" s="159">
        <f t="shared" si="14"/>
        <v>1.8970562948617133E-2</v>
      </c>
      <c r="AY61" s="159">
        <f t="shared" si="14"/>
        <v>5.1934148657810111E-2</v>
      </c>
      <c r="AZ61" s="159">
        <f t="shared" si="14"/>
        <v>2.000565698202068E-2</v>
      </c>
      <c r="BA61" s="159">
        <f t="shared" si="14"/>
        <v>2.760615530833109E-2</v>
      </c>
      <c r="BB61" s="159">
        <f t="shared" si="14"/>
        <v>1.8970562948617133E-2</v>
      </c>
      <c r="BC61" s="159">
        <f t="shared" si="14"/>
        <v>3.770636841283375E-2</v>
      </c>
      <c r="BD61" s="159">
        <f t="shared" si="14"/>
        <v>1.7464907618800946E-2</v>
      </c>
      <c r="BE61" s="159">
        <f t="shared" si="14"/>
        <v>6.8364924081700945E-2</v>
      </c>
      <c r="BF61" s="159">
        <f t="shared" si="14"/>
        <v>8.3904323720960343E-3</v>
      </c>
      <c r="BG61" s="159">
        <f t="shared" si="14"/>
        <v>6.2934148657810107E-2</v>
      </c>
      <c r="BH61" s="159">
        <f t="shared" si="14"/>
        <v>1.1388990315354014E-2</v>
      </c>
      <c r="BI61" s="159">
        <f t="shared" si="14"/>
        <v>2.760615530833109E-2</v>
      </c>
      <c r="BJ61" s="159">
        <f t="shared" si="14"/>
        <v>8.3904323720960343E-3</v>
      </c>
    </row>
    <row r="62" spans="4:65" x14ac:dyDescent="0.25">
      <c r="D62">
        <v>10</v>
      </c>
      <c r="AO62" s="159">
        <f t="shared" si="4"/>
        <v>8.1898492363192243E-2</v>
      </c>
      <c r="AP62" s="159">
        <f t="shared" si="4"/>
        <v>1.9202700035328341E-2</v>
      </c>
      <c r="AQ62" s="159">
        <f t="shared" si="5"/>
        <v>8.6752345180890672E-2</v>
      </c>
      <c r="AR62" s="159">
        <f t="shared" si="5"/>
        <v>2.1508843132375489E-2</v>
      </c>
      <c r="AS62" s="159">
        <f t="shared" si="5"/>
        <v>7.2139963673337318E-2</v>
      </c>
      <c r="AT62" s="159">
        <f t="shared" si="5"/>
        <v>2.0139973709334569E-2</v>
      </c>
      <c r="AU62" s="159">
        <f t="shared" si="5"/>
        <v>7.655888681082379E-2</v>
      </c>
      <c r="AV62" s="159">
        <f t="shared" si="5"/>
        <v>2.1508843132375485E-2</v>
      </c>
      <c r="AW62" s="159">
        <f t="shared" ref="AW62:BJ62" si="15">AW16</f>
        <v>5.0888225774173651E-2</v>
      </c>
      <c r="AX62" s="159">
        <f t="shared" si="15"/>
        <v>1.9202700035328344E-2</v>
      </c>
      <c r="AY62" s="159">
        <f t="shared" si="15"/>
        <v>5.2332727438570349E-2</v>
      </c>
      <c r="AZ62" s="159">
        <f t="shared" si="15"/>
        <v>2.0311646654703697E-2</v>
      </c>
      <c r="BA62" s="159">
        <f t="shared" si="15"/>
        <v>2.7909873631173563E-2</v>
      </c>
      <c r="BB62" s="159">
        <f t="shared" si="15"/>
        <v>1.9202700035328344E-2</v>
      </c>
      <c r="BC62" s="159">
        <f t="shared" si="15"/>
        <v>3.8694150608630865E-2</v>
      </c>
      <c r="BD62" s="159">
        <f t="shared" si="15"/>
        <v>1.760024285698869E-2</v>
      </c>
      <c r="BE62" s="159">
        <f t="shared" si="15"/>
        <v>6.9114298657734705E-2</v>
      </c>
      <c r="BF62" s="159">
        <f t="shared" si="15"/>
        <v>8.4931035754958143E-3</v>
      </c>
      <c r="BG62" s="159">
        <f t="shared" si="15"/>
        <v>6.3332727438570352E-2</v>
      </c>
      <c r="BH62" s="159">
        <f t="shared" si="15"/>
        <v>1.169497998803703E-2</v>
      </c>
      <c r="BI62" s="159">
        <f t="shared" si="15"/>
        <v>2.7909873631173563E-2</v>
      </c>
      <c r="BJ62" s="159">
        <f t="shared" si="15"/>
        <v>8.4931035754958143E-3</v>
      </c>
    </row>
    <row r="63" spans="4:65" x14ac:dyDescent="0.25">
      <c r="D63">
        <v>11</v>
      </c>
      <c r="AO63" s="159">
        <f t="shared" si="4"/>
        <v>8.2436534360075572E-2</v>
      </c>
      <c r="AP63" s="159">
        <f t="shared" si="4"/>
        <v>1.9458332392475568E-2</v>
      </c>
      <c r="AQ63" s="159">
        <f t="shared" ref="AQ63:AV68" si="16">AQ22</f>
        <v>8.2026594250103974E-2</v>
      </c>
      <c r="AR63" s="159">
        <f t="shared" si="16"/>
        <v>1.9263563290419842E-2</v>
      </c>
      <c r="AS63" s="159">
        <f t="shared" si="16"/>
        <v>6.6620821062782512E-2</v>
      </c>
      <c r="AT63" s="159">
        <f t="shared" si="16"/>
        <v>1.8430284419448415E-2</v>
      </c>
      <c r="AU63" s="159">
        <f t="shared" si="16"/>
        <v>6.9310774699656297E-2</v>
      </c>
      <c r="AV63" s="159">
        <f t="shared" si="16"/>
        <v>1.9263563290419842E-2</v>
      </c>
      <c r="AW63" s="159">
        <f t="shared" ref="AW63:BJ63" si="17">AW17</f>
        <v>5.1221209669810412E-2</v>
      </c>
      <c r="AX63" s="159">
        <f t="shared" si="17"/>
        <v>1.9458332392475568E-2</v>
      </c>
      <c r="AY63" s="159">
        <f t="shared" si="17"/>
        <v>5.2763583961328679E-2</v>
      </c>
      <c r="AZ63" s="159">
        <f t="shared" si="17"/>
        <v>2.0642416010063509E-2</v>
      </c>
      <c r="BA63" s="159">
        <f t="shared" si="17"/>
        <v>2.8244332169776714E-2</v>
      </c>
      <c r="BB63" s="159">
        <f t="shared" si="17"/>
        <v>1.9458332392475568E-2</v>
      </c>
      <c r="BC63" s="159">
        <f t="shared" si="17"/>
        <v>3.9761925469379775E-2</v>
      </c>
      <c r="BD63" s="159">
        <f t="shared" si="17"/>
        <v>1.7746537825378682E-2</v>
      </c>
      <c r="BE63" s="159">
        <f t="shared" si="17"/>
        <v>6.9939519616486673E-2</v>
      </c>
      <c r="BF63" s="159">
        <f t="shared" si="17"/>
        <v>8.606166430329E-3</v>
      </c>
      <c r="BG63" s="159">
        <f t="shared" si="17"/>
        <v>6.3763583961328682E-2</v>
      </c>
      <c r="BH63" s="159">
        <f t="shared" si="17"/>
        <v>1.2025749343396844E-2</v>
      </c>
      <c r="BI63" s="159">
        <f t="shared" si="17"/>
        <v>2.8244332169776714E-2</v>
      </c>
      <c r="BJ63" s="159">
        <f t="shared" si="17"/>
        <v>8.606166430329E-3</v>
      </c>
    </row>
    <row r="64" spans="4:65" x14ac:dyDescent="0.25">
      <c r="D64" s="17">
        <v>12</v>
      </c>
      <c r="AO64" s="159">
        <f t="shared" si="4"/>
        <v>8.1898492363192243E-2</v>
      </c>
      <c r="AP64" s="159">
        <f t="shared" si="4"/>
        <v>1.9202700035328341E-2</v>
      </c>
      <c r="AQ64" s="159">
        <f t="shared" si="16"/>
        <v>0</v>
      </c>
      <c r="AR64" s="159">
        <f t="shared" si="16"/>
        <v>0</v>
      </c>
      <c r="AS64" s="159">
        <f t="shared" si="16"/>
        <v>0</v>
      </c>
      <c r="AT64" s="159">
        <f t="shared" si="16"/>
        <v>0</v>
      </c>
      <c r="AU64" s="159">
        <f t="shared" si="16"/>
        <v>0</v>
      </c>
      <c r="AV64" s="159">
        <f t="shared" si="16"/>
        <v>0</v>
      </c>
      <c r="AW64" s="159">
        <f t="shared" ref="AW64:BJ64" si="18">AW18</f>
        <v>5.0888225774173651E-2</v>
      </c>
      <c r="AX64" s="159">
        <f t="shared" si="18"/>
        <v>1.9202700035328344E-2</v>
      </c>
      <c r="AY64" s="159">
        <f t="shared" si="18"/>
        <v>5.2332727438570349E-2</v>
      </c>
      <c r="AZ64" s="159">
        <f t="shared" si="18"/>
        <v>2.0311646654703697E-2</v>
      </c>
      <c r="BA64" s="159">
        <f t="shared" si="18"/>
        <v>2.7909873631173563E-2</v>
      </c>
      <c r="BB64" s="159">
        <f t="shared" si="18"/>
        <v>1.9202700035328344E-2</v>
      </c>
      <c r="BC64" s="159">
        <f t="shared" si="18"/>
        <v>3.8694150608630865E-2</v>
      </c>
      <c r="BD64" s="159">
        <f t="shared" si="18"/>
        <v>1.760024285698869E-2</v>
      </c>
      <c r="BE64" s="159">
        <f t="shared" si="18"/>
        <v>6.9114298657734705E-2</v>
      </c>
      <c r="BF64" s="159">
        <f t="shared" si="18"/>
        <v>8.4931035754958143E-3</v>
      </c>
      <c r="BG64" s="159">
        <f t="shared" si="18"/>
        <v>6.3332727438570352E-2</v>
      </c>
      <c r="BH64" s="159">
        <f t="shared" si="18"/>
        <v>1.169497998803703E-2</v>
      </c>
      <c r="BI64" s="159">
        <f t="shared" si="18"/>
        <v>2.7909873631173563E-2</v>
      </c>
      <c r="BJ64" s="159">
        <f t="shared" si="18"/>
        <v>8.4931035754958143E-3</v>
      </c>
    </row>
    <row r="65" spans="4:65" ht="14.4" x14ac:dyDescent="0.3">
      <c r="D65">
        <v>13</v>
      </c>
      <c r="AO65" s="159">
        <f t="shared" si="4"/>
        <v>8.2028088857790449E-2</v>
      </c>
      <c r="AP65" s="159">
        <f t="shared" si="4"/>
        <v>1.9264273402433627E-2</v>
      </c>
      <c r="AQ65" s="159">
        <f t="shared" si="16"/>
        <v>0</v>
      </c>
      <c r="AR65" s="159">
        <f t="shared" si="16"/>
        <v>0</v>
      </c>
      <c r="AS65" s="159">
        <f t="shared" si="16"/>
        <v>0</v>
      </c>
      <c r="AT65" s="159">
        <f t="shared" si="16"/>
        <v>0</v>
      </c>
      <c r="AU65" s="159">
        <f t="shared" si="16"/>
        <v>0</v>
      </c>
      <c r="AV65" s="159">
        <f t="shared" si="16"/>
        <v>0</v>
      </c>
      <c r="AW65" s="159">
        <f t="shared" ref="AW65:BJ65" si="19">AW19</f>
        <v>5.096843056465869E-2</v>
      </c>
      <c r="AX65" s="159">
        <f t="shared" si="19"/>
        <v>1.9264273402433627E-2</v>
      </c>
      <c r="AY65" s="159">
        <f t="shared" si="19"/>
        <v>5.2437177390890523E-2</v>
      </c>
      <c r="AZ65" s="159">
        <f t="shared" si="19"/>
        <v>2.0391833077727135E-2</v>
      </c>
      <c r="BA65" s="159">
        <f t="shared" si="19"/>
        <v>2.7990433614302177E-2</v>
      </c>
      <c r="BB65" s="159">
        <f t="shared" si="19"/>
        <v>1.9264273402433627E-2</v>
      </c>
      <c r="BC65" s="159">
        <f t="shared" si="19"/>
        <v>3.8953004838293906E-2</v>
      </c>
      <c r="BD65" s="159">
        <f t="shared" si="19"/>
        <v>1.7635708265229907E-2</v>
      </c>
      <c r="BE65" s="159">
        <f t="shared" si="19"/>
        <v>6.9313067051545441E-2</v>
      </c>
      <c r="BF65" s="159">
        <f t="shared" si="19"/>
        <v>8.520336672058022E-3</v>
      </c>
      <c r="BG65" s="159">
        <f t="shared" si="19"/>
        <v>6.3437177390890526E-2</v>
      </c>
      <c r="BH65" s="159">
        <f t="shared" si="19"/>
        <v>1.1775166411060469E-2</v>
      </c>
      <c r="BI65" s="159">
        <f t="shared" si="19"/>
        <v>2.7990433614302177E-2</v>
      </c>
      <c r="BJ65" s="159">
        <f t="shared" si="19"/>
        <v>8.520336672058022E-3</v>
      </c>
      <c r="BL65" s="256" t="s">
        <v>245</v>
      </c>
      <c r="BM65" s="255" t="s">
        <v>114</v>
      </c>
    </row>
    <row r="66" spans="4:65" ht="14.4" x14ac:dyDescent="0.3">
      <c r="D66">
        <v>14</v>
      </c>
      <c r="AO66" s="159">
        <f t="shared" si="4"/>
        <v>8.229698882667083E-2</v>
      </c>
      <c r="AP66" s="159">
        <f t="shared" si="4"/>
        <v>1.9392032077927147E-2</v>
      </c>
      <c r="AQ66" s="159">
        <f t="shared" si="16"/>
        <v>0</v>
      </c>
      <c r="AR66" s="159">
        <f t="shared" si="16"/>
        <v>0</v>
      </c>
      <c r="AS66" s="159">
        <f t="shared" si="16"/>
        <v>0</v>
      </c>
      <c r="AT66" s="159">
        <f t="shared" si="16"/>
        <v>0</v>
      </c>
      <c r="AU66" s="159">
        <f t="shared" si="16"/>
        <v>0</v>
      </c>
      <c r="AV66" s="159">
        <f t="shared" si="16"/>
        <v>0</v>
      </c>
      <c r="AW66" s="159">
        <f t="shared" ref="AW66:BJ66" si="20">AW20</f>
        <v>5.1134847609597661E-2</v>
      </c>
      <c r="AX66" s="159">
        <f t="shared" si="20"/>
        <v>1.9392032077927147E-2</v>
      </c>
      <c r="AY66" s="159">
        <f t="shared" si="20"/>
        <v>5.2652496346434E-2</v>
      </c>
      <c r="AZ66" s="159">
        <f t="shared" si="20"/>
        <v>2.0557133841113309E-2</v>
      </c>
      <c r="BA66" s="159">
        <f t="shared" si="20"/>
        <v>2.8157587649011592E-2</v>
      </c>
      <c r="BB66" s="159">
        <f t="shared" si="20"/>
        <v>1.9392032077927147E-2</v>
      </c>
      <c r="BC66" s="159">
        <f t="shared" si="20"/>
        <v>3.9486621380292963E-2</v>
      </c>
      <c r="BD66" s="159">
        <f t="shared" si="20"/>
        <v>1.7708818635228107E-2</v>
      </c>
      <c r="BE66" s="159">
        <f t="shared" si="20"/>
        <v>6.9725491902046383E-2</v>
      </c>
      <c r="BF66" s="159">
        <f t="shared" si="20"/>
        <v>8.5768426666128703E-3</v>
      </c>
      <c r="BG66" s="159">
        <f t="shared" si="20"/>
        <v>6.3652496346434009E-2</v>
      </c>
      <c r="BH66" s="159">
        <f t="shared" si="20"/>
        <v>1.1940467174446643E-2</v>
      </c>
      <c r="BI66" s="159">
        <f t="shared" si="20"/>
        <v>2.8157587649011592E-2</v>
      </c>
      <c r="BJ66" s="159">
        <f t="shared" si="20"/>
        <v>8.5768426666128703E-3</v>
      </c>
      <c r="BL66" s="256" t="s">
        <v>246</v>
      </c>
      <c r="BM66" s="255" t="s">
        <v>239</v>
      </c>
    </row>
    <row r="67" spans="4:65" ht="14.4" x14ac:dyDescent="0.3">
      <c r="D67">
        <v>15</v>
      </c>
      <c r="AO67" s="159">
        <f t="shared" si="4"/>
        <v>8.3871218370244818E-2</v>
      </c>
      <c r="AP67" s="159">
        <f t="shared" si="4"/>
        <v>2.0139973709334569E-2</v>
      </c>
      <c r="AQ67" s="159">
        <f t="shared" si="16"/>
        <v>0</v>
      </c>
      <c r="AR67" s="159">
        <f t="shared" si="16"/>
        <v>0</v>
      </c>
      <c r="AS67" s="159">
        <f t="shared" si="16"/>
        <v>0</v>
      </c>
      <c r="AT67" s="159">
        <f t="shared" si="16"/>
        <v>0</v>
      </c>
      <c r="AU67" s="159">
        <f t="shared" si="16"/>
        <v>0</v>
      </c>
      <c r="AV67" s="159">
        <f t="shared" si="16"/>
        <v>0</v>
      </c>
      <c r="AW67" s="159">
        <f t="shared" ref="AW67:BJ67" si="21">AW21</f>
        <v>5.2109108148890498E-2</v>
      </c>
      <c r="AX67" s="159">
        <f t="shared" si="21"/>
        <v>2.0139973709334569E-2</v>
      </c>
      <c r="AY67" s="159">
        <f t="shared" si="21"/>
        <v>5.3892182397349941E-2</v>
      </c>
      <c r="AZ67" s="159">
        <f t="shared" si="21"/>
        <v>2.1508843132375485E-2</v>
      </c>
      <c r="BA67" s="159">
        <f t="shared" si="21"/>
        <v>2.9136162770692725E-2</v>
      </c>
      <c r="BB67" s="159">
        <f t="shared" si="21"/>
        <v>2.0139973709334569E-2</v>
      </c>
      <c r="BC67" s="159">
        <f t="shared" si="21"/>
        <v>4.255888681082378E-2</v>
      </c>
      <c r="BD67" s="159">
        <f t="shared" si="21"/>
        <v>1.8129747232226483E-2</v>
      </c>
      <c r="BE67" s="159">
        <f t="shared" si="21"/>
        <v>7.2139963673337318E-2</v>
      </c>
      <c r="BF67" s="159">
        <f t="shared" si="21"/>
        <v>8.907647487407952E-3</v>
      </c>
      <c r="BG67" s="159">
        <f t="shared" si="21"/>
        <v>6.4892182397349951E-2</v>
      </c>
      <c r="BH67" s="159">
        <f t="shared" si="21"/>
        <v>1.289217646570882E-2</v>
      </c>
      <c r="BI67" s="159">
        <f t="shared" si="21"/>
        <v>2.9136162770692725E-2</v>
      </c>
      <c r="BJ67" s="159">
        <f t="shared" si="21"/>
        <v>8.907647487407952E-3</v>
      </c>
      <c r="BL67" s="256" t="s">
        <v>247</v>
      </c>
      <c r="BM67" s="255" t="s">
        <v>240</v>
      </c>
    </row>
    <row r="68" spans="4:65" ht="14.4" x14ac:dyDescent="0.3">
      <c r="D68">
        <v>16</v>
      </c>
      <c r="AO68" s="159">
        <f t="shared" si="4"/>
        <v>8.0272751220600694E-2</v>
      </c>
      <c r="AP68" s="159">
        <f t="shared" si="4"/>
        <v>1.8430284419448415E-2</v>
      </c>
      <c r="AQ68" s="159">
        <f t="shared" si="16"/>
        <v>0</v>
      </c>
      <c r="AR68" s="159">
        <f t="shared" si="16"/>
        <v>0</v>
      </c>
      <c r="AS68" s="159">
        <f t="shared" si="16"/>
        <v>0</v>
      </c>
      <c r="AT68" s="159">
        <f t="shared" si="16"/>
        <v>0</v>
      </c>
      <c r="AU68" s="159">
        <f t="shared" si="16"/>
        <v>0</v>
      </c>
      <c r="AV68" s="159">
        <f t="shared" si="16"/>
        <v>0</v>
      </c>
      <c r="AW68" s="159">
        <f t="shared" ref="AW68:BJ68" si="22">AW22</f>
        <v>4.9882085691999964E-2</v>
      </c>
      <c r="AX68" s="159">
        <f t="shared" si="22"/>
        <v>1.8430284419448415E-2</v>
      </c>
      <c r="AY68" s="159">
        <f t="shared" si="22"/>
        <v>5.0967505580563066E-2</v>
      </c>
      <c r="AZ68" s="159">
        <f t="shared" si="22"/>
        <v>1.9263563290419842E-2</v>
      </c>
      <c r="BA68" s="159">
        <f t="shared" si="22"/>
        <v>2.6899277785778816E-2</v>
      </c>
      <c r="BB68" s="159">
        <f t="shared" si="22"/>
        <v>1.8430284419448415E-2</v>
      </c>
      <c r="BC68" s="159">
        <f t="shared" si="22"/>
        <v>3.5310774699656287E-2</v>
      </c>
      <c r="BD68" s="159">
        <f t="shared" si="22"/>
        <v>1.7136689265449982E-2</v>
      </c>
      <c r="BE68" s="159">
        <f t="shared" si="22"/>
        <v>6.6620821062782512E-2</v>
      </c>
      <c r="BF68" s="159">
        <f t="shared" si="22"/>
        <v>8.1514742308240028E-3</v>
      </c>
      <c r="BG68" s="159">
        <f t="shared" si="22"/>
        <v>6.1967505580563062E-2</v>
      </c>
      <c r="BH68" s="159">
        <f t="shared" si="22"/>
        <v>1.0646896623753175E-2</v>
      </c>
      <c r="BI68" s="159">
        <f t="shared" si="22"/>
        <v>2.6899277785778816E-2</v>
      </c>
      <c r="BJ68" s="159">
        <f t="shared" si="22"/>
        <v>8.1514742308240028E-3</v>
      </c>
      <c r="BL68" s="256" t="s">
        <v>248</v>
      </c>
      <c r="BM68" s="255" t="s">
        <v>241</v>
      </c>
    </row>
    <row r="69" spans="4:65" ht="14.4" x14ac:dyDescent="0.3">
      <c r="BL69" s="256" t="s">
        <v>249</v>
      </c>
      <c r="BM69" s="255" t="s">
        <v>242</v>
      </c>
    </row>
    <row r="70" spans="4:65" x14ac:dyDescent="0.25">
      <c r="AO70" s="295" t="s">
        <v>233</v>
      </c>
      <c r="AP70" s="294"/>
      <c r="AQ70" s="294"/>
      <c r="AR70" s="294"/>
      <c r="AS70" s="294"/>
      <c r="AT70" s="294"/>
      <c r="AU70" s="294"/>
      <c r="AV70" s="294"/>
      <c r="AW70" s="295" t="s">
        <v>234</v>
      </c>
      <c r="AX70" s="294"/>
      <c r="AY70" s="294"/>
      <c r="AZ70" s="294"/>
      <c r="BA70" s="294"/>
      <c r="BB70" s="294"/>
      <c r="BC70" s="294"/>
      <c r="BD70" s="294"/>
      <c r="BE70" s="295" t="s">
        <v>235</v>
      </c>
      <c r="BF70" s="294"/>
      <c r="BG70" s="294"/>
      <c r="BH70" s="294"/>
      <c r="BI70" s="295" t="s">
        <v>236</v>
      </c>
      <c r="BJ70" s="294"/>
    </row>
    <row r="71" spans="4:65" x14ac:dyDescent="0.25">
      <c r="AO71" s="302" t="s">
        <v>162</v>
      </c>
      <c r="AP71" s="303"/>
      <c r="AQ71" s="304" t="s">
        <v>162</v>
      </c>
      <c r="AR71" s="305"/>
      <c r="AS71" s="298" t="s">
        <v>163</v>
      </c>
      <c r="AT71" s="299"/>
      <c r="AU71" s="296" t="s">
        <v>163</v>
      </c>
      <c r="AV71" s="297"/>
      <c r="AW71" s="298" t="s">
        <v>164</v>
      </c>
      <c r="AX71" s="299"/>
      <c r="AY71" s="296" t="s">
        <v>164</v>
      </c>
      <c r="AZ71" s="297"/>
      <c r="BA71" s="298" t="s">
        <v>165</v>
      </c>
      <c r="BB71" s="299"/>
      <c r="BC71" s="296" t="s">
        <v>165</v>
      </c>
      <c r="BD71" s="297"/>
      <c r="BE71" s="298" t="s">
        <v>166</v>
      </c>
      <c r="BF71" s="299"/>
      <c r="BG71" s="296" t="s">
        <v>166</v>
      </c>
      <c r="BH71" s="297"/>
      <c r="BI71" s="298" t="s">
        <v>213</v>
      </c>
      <c r="BJ71" s="299"/>
    </row>
    <row r="72" spans="4:65" x14ac:dyDescent="0.25">
      <c r="AO72" s="301" t="s">
        <v>62</v>
      </c>
      <c r="AP72" s="301"/>
      <c r="AQ72" s="300" t="s">
        <v>63</v>
      </c>
      <c r="AR72" s="300"/>
      <c r="AS72" s="301" t="s">
        <v>62</v>
      </c>
      <c r="AT72" s="301"/>
      <c r="AU72" s="300" t="s">
        <v>63</v>
      </c>
      <c r="AV72" s="300"/>
      <c r="AW72" s="301" t="s">
        <v>62</v>
      </c>
      <c r="AX72" s="301"/>
      <c r="AY72" s="300" t="s">
        <v>63</v>
      </c>
      <c r="AZ72" s="300"/>
      <c r="BA72" s="301" t="s">
        <v>62</v>
      </c>
      <c r="BB72" s="301"/>
      <c r="BC72" s="300" t="s">
        <v>63</v>
      </c>
      <c r="BD72" s="300"/>
      <c r="BE72" s="301" t="s">
        <v>62</v>
      </c>
      <c r="BF72" s="301"/>
      <c r="BG72" s="300" t="s">
        <v>63</v>
      </c>
      <c r="BH72" s="300"/>
      <c r="BI72" s="301" t="s">
        <v>62</v>
      </c>
      <c r="BJ72" s="301"/>
    </row>
    <row r="73" spans="4:65" ht="26.4" x14ac:dyDescent="0.25">
      <c r="AO73" s="163" t="s">
        <v>215</v>
      </c>
      <c r="AP73" s="163" t="s">
        <v>216</v>
      </c>
      <c r="AQ73" s="161" t="s">
        <v>215</v>
      </c>
      <c r="AR73" s="161" t="s">
        <v>216</v>
      </c>
      <c r="AS73" s="163" t="s">
        <v>217</v>
      </c>
      <c r="AT73" s="163" t="s">
        <v>216</v>
      </c>
      <c r="AU73" s="161" t="s">
        <v>217</v>
      </c>
      <c r="AV73" s="161" t="s">
        <v>216</v>
      </c>
      <c r="AW73" s="163" t="s">
        <v>218</v>
      </c>
      <c r="AX73" s="163" t="s">
        <v>219</v>
      </c>
      <c r="AY73" s="161" t="s">
        <v>218</v>
      </c>
      <c r="AZ73" s="161" t="s">
        <v>219</v>
      </c>
      <c r="BA73" s="163" t="s">
        <v>220</v>
      </c>
      <c r="BB73" s="163" t="s">
        <v>219</v>
      </c>
      <c r="BC73" s="161" t="s">
        <v>220</v>
      </c>
      <c r="BD73" s="161" t="s">
        <v>219</v>
      </c>
      <c r="BE73" s="163" t="s">
        <v>217</v>
      </c>
      <c r="BF73" s="163" t="s">
        <v>216</v>
      </c>
      <c r="BG73" s="161" t="s">
        <v>217</v>
      </c>
      <c r="BH73" s="161" t="s">
        <v>216</v>
      </c>
      <c r="BI73" s="163" t="s">
        <v>220</v>
      </c>
      <c r="BJ73" s="163" t="s">
        <v>216</v>
      </c>
    </row>
    <row r="74" spans="4:65" x14ac:dyDescent="0.25">
      <c r="D74">
        <v>1</v>
      </c>
      <c r="AO74" s="159">
        <f>AO33</f>
        <v>7.6866396860759439E-2</v>
      </c>
      <c r="AP74" s="159">
        <f t="shared" ref="AP74:BJ74" si="23">AP33</f>
        <v>1.6811870988286879E-2</v>
      </c>
      <c r="AQ74" s="159">
        <f t="shared" si="23"/>
        <v>7.9241037536075296E-2</v>
      </c>
      <c r="AR74" s="159">
        <f t="shared" si="23"/>
        <v>1.7940100748649442E-2</v>
      </c>
      <c r="AS74" s="159">
        <f t="shared" si="23"/>
        <v>6.1396331102964934E-2</v>
      </c>
      <c r="AT74" s="159">
        <f t="shared" si="23"/>
        <v>1.6811870988286879E-2</v>
      </c>
      <c r="AU74" s="159">
        <f t="shared" si="23"/>
        <v>6.5038432028407187E-2</v>
      </c>
      <c r="AV74" s="159">
        <f t="shared" si="23"/>
        <v>1.7940100748649442E-2</v>
      </c>
      <c r="AW74" s="159">
        <f t="shared" si="23"/>
        <v>4.7773958164354272E-2</v>
      </c>
      <c r="AX74" s="159">
        <f t="shared" si="23"/>
        <v>1.6811870988286879E-2</v>
      </c>
      <c r="AY74" s="159">
        <f t="shared" si="23"/>
        <v>4.9243577836023948E-2</v>
      </c>
      <c r="AZ74" s="159">
        <f t="shared" si="23"/>
        <v>1.7940100748649442E-2</v>
      </c>
      <c r="BA74" s="159">
        <f t="shared" si="23"/>
        <v>2.4781814264796413E-2</v>
      </c>
      <c r="BB74" s="159">
        <f t="shared" si="23"/>
        <v>1.6811870988286879E-2</v>
      </c>
      <c r="BC74" s="159">
        <f t="shared" si="23"/>
        <v>3.1038432028407184E-2</v>
      </c>
      <c r="BD74" s="159">
        <f t="shared" si="23"/>
        <v>1.6551339058194465E-2</v>
      </c>
      <c r="BE74" s="159">
        <f t="shared" si="23"/>
        <v>6.1396331102964934E-2</v>
      </c>
      <c r="BF74" s="159">
        <f t="shared" si="23"/>
        <v>7.4356710951430649E-3</v>
      </c>
      <c r="BG74" s="159">
        <f t="shared" si="23"/>
        <v>6.0243577836023951E-2</v>
      </c>
      <c r="BH74" s="159">
        <f t="shared" si="23"/>
        <v>9.323434081982775E-3</v>
      </c>
      <c r="BI74" s="159">
        <f t="shared" si="23"/>
        <v>2.4781814264796413E-2</v>
      </c>
      <c r="BJ74" s="159">
        <f t="shared" si="23"/>
        <v>7.4356710951430649E-3</v>
      </c>
    </row>
    <row r="75" spans="4:65" x14ac:dyDescent="0.25">
      <c r="D75">
        <v>2</v>
      </c>
      <c r="AO75" s="159">
        <f t="shared" ref="AO75:BJ75" si="24">AO34</f>
        <v>7.8403563013266619E-2</v>
      </c>
      <c r="AP75" s="159">
        <f t="shared" si="24"/>
        <v>1.7542203209876546E-2</v>
      </c>
      <c r="AQ75" s="159">
        <f t="shared" si="24"/>
        <v>8.1486964461696842E-2</v>
      </c>
      <c r="AR75" s="159">
        <f t="shared" si="24"/>
        <v>1.9007176548127516E-2</v>
      </c>
      <c r="AS75" s="159">
        <f t="shared" si="24"/>
        <v>6.3753956963921873E-2</v>
      </c>
      <c r="AT75" s="159">
        <f t="shared" si="24"/>
        <v>1.7542203209876546E-2</v>
      </c>
      <c r="AU75" s="159">
        <f t="shared" si="24"/>
        <v>6.8483118468469897E-2</v>
      </c>
      <c r="AV75" s="159">
        <f t="shared" si="24"/>
        <v>1.9007176548127516E-2</v>
      </c>
      <c r="AW75" s="159">
        <f t="shared" si="24"/>
        <v>4.8725280880178995E-2</v>
      </c>
      <c r="AX75" s="159">
        <f t="shared" si="24"/>
        <v>1.7542203209876546E-2</v>
      </c>
      <c r="AY75" s="159">
        <f t="shared" si="24"/>
        <v>5.0633539031136973E-2</v>
      </c>
      <c r="AZ75" s="159">
        <f t="shared" si="24"/>
        <v>1.9007176548127516E-2</v>
      </c>
      <c r="BA75" s="159">
        <f t="shared" si="24"/>
        <v>2.5737349981219793E-2</v>
      </c>
      <c r="BB75" s="159">
        <f t="shared" si="24"/>
        <v>1.7542203209876546E-2</v>
      </c>
      <c r="BC75" s="159">
        <f t="shared" si="24"/>
        <v>3.4483118468469895E-2</v>
      </c>
      <c r="BD75" s="159">
        <f t="shared" si="24"/>
        <v>1.7023292755914004E-2</v>
      </c>
      <c r="BE75" s="159">
        <f t="shared" si="24"/>
        <v>6.3753956963921873E-2</v>
      </c>
      <c r="BF75" s="159">
        <f t="shared" si="24"/>
        <v>7.7586875038288938E-3</v>
      </c>
      <c r="BG75" s="159">
        <f t="shared" si="24"/>
        <v>6.1633539031136976E-2</v>
      </c>
      <c r="BH75" s="159">
        <f t="shared" si="24"/>
        <v>1.039050988146085E-2</v>
      </c>
      <c r="BI75" s="159">
        <f t="shared" si="24"/>
        <v>2.5737349981219793E-2</v>
      </c>
      <c r="BJ75" s="159">
        <f t="shared" si="24"/>
        <v>7.7586875038288938E-3</v>
      </c>
    </row>
    <row r="76" spans="4:65" x14ac:dyDescent="0.25">
      <c r="D76">
        <v>3</v>
      </c>
      <c r="AO76" s="159">
        <f t="shared" ref="AO76:BJ76" si="25">AO35</f>
        <v>7.7981470762731403E-2</v>
      </c>
      <c r="AP76" s="159">
        <f t="shared" si="25"/>
        <v>1.7341660431500656E-2</v>
      </c>
      <c r="AQ76" s="159">
        <f t="shared" si="25"/>
        <v>8.0781786582715287E-2</v>
      </c>
      <c r="AR76" s="159">
        <f t="shared" si="25"/>
        <v>1.8672135260539652E-2</v>
      </c>
      <c r="AS76" s="159">
        <f t="shared" si="25"/>
        <v>6.3106573723048232E-2</v>
      </c>
      <c r="AT76" s="159">
        <f t="shared" si="25"/>
        <v>1.7341660431500656E-2</v>
      </c>
      <c r="AU76" s="159">
        <f t="shared" si="25"/>
        <v>6.7401553146887727E-2</v>
      </c>
      <c r="AV76" s="159">
        <f t="shared" si="25"/>
        <v>1.8672135260539652E-2</v>
      </c>
      <c r="AW76" s="159">
        <f t="shared" si="25"/>
        <v>4.8464056063686131E-2</v>
      </c>
      <c r="AX76" s="159">
        <f t="shared" si="25"/>
        <v>1.7341660431500656E-2</v>
      </c>
      <c r="AY76" s="159">
        <f t="shared" si="25"/>
        <v>5.0197117936463462E-2</v>
      </c>
      <c r="AZ76" s="159">
        <f t="shared" si="25"/>
        <v>1.8672135260539652E-2</v>
      </c>
      <c r="BA76" s="159">
        <f t="shared" si="25"/>
        <v>2.5474968311968167E-2</v>
      </c>
      <c r="BB76" s="159">
        <f t="shared" si="25"/>
        <v>1.7341660431500656E-2</v>
      </c>
      <c r="BC76" s="159">
        <f t="shared" si="25"/>
        <v>3.3401553146887718E-2</v>
      </c>
      <c r="BD76" s="159">
        <f t="shared" si="25"/>
        <v>1.6875108367660471E-2</v>
      </c>
      <c r="BE76" s="159">
        <f t="shared" si="25"/>
        <v>6.3106573723048232E-2</v>
      </c>
      <c r="BF76" s="159">
        <f t="shared" si="25"/>
        <v>7.6699900506097827E-3</v>
      </c>
      <c r="BG76" s="159">
        <f t="shared" si="25"/>
        <v>6.1197117936463465E-2</v>
      </c>
      <c r="BH76" s="159">
        <f t="shared" si="25"/>
        <v>1.0055468593872987E-2</v>
      </c>
      <c r="BI76" s="159">
        <f t="shared" si="25"/>
        <v>2.5474968311968167E-2</v>
      </c>
      <c r="BJ76" s="159">
        <f t="shared" si="25"/>
        <v>7.6699900506097827E-3</v>
      </c>
    </row>
    <row r="77" spans="4:65" x14ac:dyDescent="0.25">
      <c r="D77">
        <v>4</v>
      </c>
      <c r="AO77" s="159">
        <f t="shared" ref="AO77:BJ77" si="26">AO36</f>
        <v>7.792232086188372E-2</v>
      </c>
      <c r="AP77" s="159">
        <f t="shared" si="26"/>
        <v>1.7313557367676074E-2</v>
      </c>
      <c r="AQ77" s="159">
        <f t="shared" si="26"/>
        <v>8.0688615329703547E-2</v>
      </c>
      <c r="AR77" s="159">
        <f t="shared" si="26"/>
        <v>1.8627868108228654E-2</v>
      </c>
      <c r="AS77" s="159">
        <f t="shared" si="26"/>
        <v>6.3015852667498012E-2</v>
      </c>
      <c r="AT77" s="159">
        <f t="shared" si="26"/>
        <v>1.7313557367676074E-2</v>
      </c>
      <c r="AU77" s="159">
        <f t="shared" si="26"/>
        <v>6.7258651902776967E-2</v>
      </c>
      <c r="AV77" s="159">
        <f t="shared" si="26"/>
        <v>1.8627868108228654E-2</v>
      </c>
      <c r="AW77" s="159">
        <f t="shared" si="26"/>
        <v>4.8427449321972883E-2</v>
      </c>
      <c r="AX77" s="159">
        <f t="shared" si="26"/>
        <v>1.7313557367676074E-2</v>
      </c>
      <c r="AY77" s="159">
        <f t="shared" si="26"/>
        <v>5.0139456030945093E-2</v>
      </c>
      <c r="AZ77" s="159">
        <f t="shared" si="26"/>
        <v>1.8627868108228654E-2</v>
      </c>
      <c r="BA77" s="159">
        <f t="shared" si="26"/>
        <v>2.5438199454684476E-2</v>
      </c>
      <c r="BB77" s="159">
        <f t="shared" si="26"/>
        <v>1.7313557367676074E-2</v>
      </c>
      <c r="BC77" s="159">
        <f t="shared" si="26"/>
        <v>3.3258651902776964E-2</v>
      </c>
      <c r="BD77" s="159">
        <f t="shared" si="26"/>
        <v>1.6855529584006199E-2</v>
      </c>
      <c r="BE77" s="159">
        <f t="shared" si="26"/>
        <v>6.3015852667498012E-2</v>
      </c>
      <c r="BF77" s="159">
        <f t="shared" si="26"/>
        <v>7.6575604323054916E-3</v>
      </c>
      <c r="BG77" s="159">
        <f t="shared" si="26"/>
        <v>6.1139456030945095E-2</v>
      </c>
      <c r="BH77" s="159">
        <f t="shared" si="26"/>
        <v>1.0011201441561986E-2</v>
      </c>
      <c r="BI77" s="159">
        <f t="shared" si="26"/>
        <v>2.5438199454684476E-2</v>
      </c>
      <c r="BJ77" s="159">
        <f t="shared" si="26"/>
        <v>7.6575604323054916E-3</v>
      </c>
    </row>
    <row r="78" spans="4:65" x14ac:dyDescent="0.25">
      <c r="D78">
        <v>5</v>
      </c>
      <c r="AO78" s="159">
        <f t="shared" ref="AO78:BJ78" si="27">AO37</f>
        <v>7.7631066471521418E-2</v>
      </c>
      <c r="AP78" s="159">
        <f t="shared" si="27"/>
        <v>1.7175177749042071E-2</v>
      </c>
      <c r="AQ78" s="159">
        <f t="shared" si="27"/>
        <v>8.0249997812998436E-2</v>
      </c>
      <c r="AR78" s="159">
        <f t="shared" si="27"/>
        <v>1.8419473911621534E-2</v>
      </c>
      <c r="AS78" s="159">
        <f t="shared" si="27"/>
        <v>6.2569141762684355E-2</v>
      </c>
      <c r="AT78" s="159">
        <f t="shared" si="27"/>
        <v>1.7175177749042071E-2</v>
      </c>
      <c r="AU78" s="159">
        <f t="shared" si="27"/>
        <v>6.6585923064215152E-2</v>
      </c>
      <c r="AV78" s="159">
        <f t="shared" si="27"/>
        <v>1.8419473911621534E-2</v>
      </c>
      <c r="AW78" s="159">
        <f t="shared" si="27"/>
        <v>4.824719755336386E-2</v>
      </c>
      <c r="AX78" s="159">
        <f t="shared" si="27"/>
        <v>1.7175177749042071E-2</v>
      </c>
      <c r="AY78" s="159">
        <f t="shared" si="27"/>
        <v>4.9868004043455233E-2</v>
      </c>
      <c r="AZ78" s="159">
        <f t="shared" si="27"/>
        <v>1.8419473911621534E-2</v>
      </c>
      <c r="BA78" s="159">
        <f t="shared" si="27"/>
        <v>2.5257149428243045E-2</v>
      </c>
      <c r="BB78" s="159">
        <f t="shared" si="27"/>
        <v>1.7175177749042071E-2</v>
      </c>
      <c r="BC78" s="159">
        <f t="shared" si="27"/>
        <v>3.258592306421515E-2</v>
      </c>
      <c r="BD78" s="159">
        <f t="shared" si="27"/>
        <v>1.6763359550986869E-2</v>
      </c>
      <c r="BE78" s="159">
        <f t="shared" si="27"/>
        <v>6.2569141762684355E-2</v>
      </c>
      <c r="BF78" s="159">
        <f t="shared" si="27"/>
        <v>7.5963569332332783E-3</v>
      </c>
      <c r="BG78" s="159">
        <f t="shared" si="27"/>
        <v>6.0868004043455236E-2</v>
      </c>
      <c r="BH78" s="159">
        <f t="shared" si="27"/>
        <v>9.8028072449548673E-3</v>
      </c>
      <c r="BI78" s="159">
        <f t="shared" si="27"/>
        <v>2.5257149428243045E-2</v>
      </c>
      <c r="BJ78" s="159">
        <f t="shared" si="27"/>
        <v>7.5963569332332783E-3</v>
      </c>
    </row>
    <row r="79" spans="4:65" x14ac:dyDescent="0.25">
      <c r="D79">
        <v>6</v>
      </c>
      <c r="AO79" s="159">
        <f t="shared" ref="AO79:BJ79" si="28">AO38</f>
        <v>7.7804896209298438E-2</v>
      </c>
      <c r="AP79" s="159">
        <f t="shared" si="28"/>
        <v>1.7257767037364598E-2</v>
      </c>
      <c r="AQ79" s="159">
        <f t="shared" si="28"/>
        <v>8.0507786076194077E-2</v>
      </c>
      <c r="AR79" s="159">
        <f t="shared" si="28"/>
        <v>1.8541953238044598E-2</v>
      </c>
      <c r="AS79" s="159">
        <f t="shared" si="28"/>
        <v>6.2835752814793491E-2</v>
      </c>
      <c r="AT79" s="159">
        <f t="shared" si="28"/>
        <v>1.7257767037364598E-2</v>
      </c>
      <c r="AU79" s="159">
        <f t="shared" si="28"/>
        <v>6.6981305355823584E-2</v>
      </c>
      <c r="AV79" s="159">
        <f t="shared" si="28"/>
        <v>1.8541953238044598E-2</v>
      </c>
      <c r="AW79" s="159">
        <f t="shared" si="28"/>
        <v>4.8354777451583335E-2</v>
      </c>
      <c r="AX79" s="159">
        <f t="shared" si="28"/>
        <v>1.7257767037364598E-2</v>
      </c>
      <c r="AY79" s="159">
        <f t="shared" si="28"/>
        <v>5.0027544266384949E-2</v>
      </c>
      <c r="AZ79" s="159">
        <f t="shared" si="28"/>
        <v>1.8541953238044598E-2</v>
      </c>
      <c r="BA79" s="159">
        <f t="shared" si="28"/>
        <v>2.5365205751726062E-2</v>
      </c>
      <c r="BB79" s="159">
        <f t="shared" si="28"/>
        <v>1.7257767037364598E-2</v>
      </c>
      <c r="BC79" s="159">
        <f t="shared" si="28"/>
        <v>3.2981305355823581E-2</v>
      </c>
      <c r="BD79" s="159">
        <f t="shared" si="28"/>
        <v>1.681753055835845E-2</v>
      </c>
      <c r="BE79" s="159">
        <f t="shared" si="28"/>
        <v>6.2835752814793491E-2</v>
      </c>
      <c r="BF79" s="159">
        <f t="shared" si="28"/>
        <v>7.6328850974320224E-3</v>
      </c>
      <c r="BG79" s="159">
        <f t="shared" si="28"/>
        <v>6.1027544266384952E-2</v>
      </c>
      <c r="BH79" s="159">
        <f t="shared" si="28"/>
        <v>9.9252865713779295E-3</v>
      </c>
      <c r="BI79" s="159">
        <f t="shared" si="28"/>
        <v>2.5365205751726062E-2</v>
      </c>
      <c r="BJ79" s="159">
        <f t="shared" si="28"/>
        <v>7.6328850974320224E-3</v>
      </c>
    </row>
    <row r="80" spans="4:65" x14ac:dyDescent="0.25">
      <c r="D80">
        <v>7</v>
      </c>
      <c r="AO80" s="159">
        <f t="shared" ref="AO80:BJ80" si="29">AO39</f>
        <v>7.7631066471521418E-2</v>
      </c>
      <c r="AP80" s="159">
        <f t="shared" si="29"/>
        <v>1.7175177749042071E-2</v>
      </c>
      <c r="AQ80" s="159">
        <f t="shared" si="29"/>
        <v>8.0249997812998436E-2</v>
      </c>
      <c r="AR80" s="159">
        <f t="shared" si="29"/>
        <v>1.8419473911621534E-2</v>
      </c>
      <c r="AS80" s="159">
        <f t="shared" si="29"/>
        <v>6.2569141762684355E-2</v>
      </c>
      <c r="AT80" s="159">
        <f t="shared" si="29"/>
        <v>1.7175177749042071E-2</v>
      </c>
      <c r="AU80" s="159">
        <f t="shared" si="29"/>
        <v>6.6585923064215152E-2</v>
      </c>
      <c r="AV80" s="159">
        <f t="shared" si="29"/>
        <v>1.8419473911621534E-2</v>
      </c>
      <c r="AW80" s="159">
        <f t="shared" si="29"/>
        <v>4.824719755336386E-2</v>
      </c>
      <c r="AX80" s="159">
        <f t="shared" si="29"/>
        <v>1.7175177749042071E-2</v>
      </c>
      <c r="AY80" s="159">
        <f t="shared" si="29"/>
        <v>4.9868004043455233E-2</v>
      </c>
      <c r="AZ80" s="159">
        <f t="shared" si="29"/>
        <v>1.8419473911621534E-2</v>
      </c>
      <c r="BA80" s="159">
        <f t="shared" si="29"/>
        <v>2.5257149428243045E-2</v>
      </c>
      <c r="BB80" s="159">
        <f t="shared" si="29"/>
        <v>1.7175177749042071E-2</v>
      </c>
      <c r="BC80" s="159">
        <f t="shared" si="29"/>
        <v>3.258592306421515E-2</v>
      </c>
      <c r="BD80" s="159">
        <f t="shared" si="29"/>
        <v>1.6763359550986869E-2</v>
      </c>
      <c r="BE80" s="159">
        <f t="shared" si="29"/>
        <v>6.2569141762684355E-2</v>
      </c>
      <c r="BF80" s="159">
        <f t="shared" si="29"/>
        <v>7.5963569332332783E-3</v>
      </c>
      <c r="BG80" s="159">
        <f t="shared" si="29"/>
        <v>6.0868004043455236E-2</v>
      </c>
      <c r="BH80" s="159">
        <f t="shared" si="29"/>
        <v>9.8028072449548673E-3</v>
      </c>
      <c r="BI80" s="159">
        <f t="shared" si="29"/>
        <v>2.5257149428243045E-2</v>
      </c>
      <c r="BJ80" s="159">
        <f t="shared" si="29"/>
        <v>7.5963569332332783E-3</v>
      </c>
    </row>
    <row r="81" spans="4:62" x14ac:dyDescent="0.25">
      <c r="D81">
        <v>8</v>
      </c>
      <c r="AO81" s="159">
        <f t="shared" ref="AO81:BJ81" si="30">AO40</f>
        <v>7.8281492418400322E-2</v>
      </c>
      <c r="AP81" s="159">
        <f t="shared" si="30"/>
        <v>1.7484205518088922E-2</v>
      </c>
      <c r="AQ81" s="159">
        <f t="shared" si="30"/>
        <v>8.127590556587537E-2</v>
      </c>
      <c r="AR81" s="159">
        <f t="shared" si="30"/>
        <v>1.8906899091445203E-2</v>
      </c>
      <c r="AS81" s="159">
        <f t="shared" si="30"/>
        <v>6.3566731405481233E-2</v>
      </c>
      <c r="AT81" s="159">
        <f t="shared" si="30"/>
        <v>1.7484205518088922E-2</v>
      </c>
      <c r="AU81" s="159">
        <f t="shared" si="30"/>
        <v>6.8159407261218746E-2</v>
      </c>
      <c r="AV81" s="159">
        <f t="shared" si="30"/>
        <v>1.8906899091445203E-2</v>
      </c>
      <c r="AW81" s="159">
        <f t="shared" si="30"/>
        <v>4.864973372501874E-2</v>
      </c>
      <c r="AX81" s="159">
        <f t="shared" si="30"/>
        <v>1.7484205518088922E-2</v>
      </c>
      <c r="AY81" s="159">
        <f t="shared" si="30"/>
        <v>5.0502918719439141E-2</v>
      </c>
      <c r="AZ81" s="159">
        <f t="shared" si="30"/>
        <v>1.8906899091445203E-2</v>
      </c>
      <c r="BA81" s="159">
        <f t="shared" si="30"/>
        <v>2.5661468260086685E-2</v>
      </c>
      <c r="BB81" s="159">
        <f t="shared" si="30"/>
        <v>1.7484205518088922E-2</v>
      </c>
      <c r="BC81" s="159">
        <f t="shared" si="30"/>
        <v>3.4159407261218744E-2</v>
      </c>
      <c r="BD81" s="159">
        <f t="shared" si="30"/>
        <v>1.6978941345730889E-2</v>
      </c>
      <c r="BE81" s="159">
        <f t="shared" si="30"/>
        <v>6.3566731405481233E-2</v>
      </c>
      <c r="BF81" s="159">
        <f t="shared" si="30"/>
        <v>7.7330358817869023E-3</v>
      </c>
      <c r="BG81" s="159">
        <f t="shared" si="30"/>
        <v>6.1502918719439144E-2</v>
      </c>
      <c r="BH81" s="159">
        <f t="shared" si="30"/>
        <v>1.0290232424778539E-2</v>
      </c>
      <c r="BI81" s="159">
        <f t="shared" si="30"/>
        <v>2.5661468260086685E-2</v>
      </c>
      <c r="BJ81" s="159">
        <f t="shared" si="30"/>
        <v>7.7330358817869023E-3</v>
      </c>
    </row>
    <row r="82" spans="4:62" x14ac:dyDescent="0.25">
      <c r="D82">
        <v>9</v>
      </c>
      <c r="AO82" s="159">
        <f t="shared" ref="AO82:BJ82" si="31">AO41</f>
        <v>7.8403563013266619E-2</v>
      </c>
      <c r="AP82" s="159">
        <f t="shared" si="31"/>
        <v>1.7542203209876546E-2</v>
      </c>
      <c r="AQ82" s="159">
        <f t="shared" si="31"/>
        <v>8.1486964461696842E-2</v>
      </c>
      <c r="AR82" s="159">
        <f t="shared" si="31"/>
        <v>1.9007176548127516E-2</v>
      </c>
      <c r="AS82" s="159">
        <f t="shared" si="31"/>
        <v>6.3753956963921873E-2</v>
      </c>
      <c r="AT82" s="159">
        <f t="shared" si="31"/>
        <v>1.7542203209876546E-2</v>
      </c>
      <c r="AU82" s="159">
        <f t="shared" si="31"/>
        <v>6.8483118468469897E-2</v>
      </c>
      <c r="AV82" s="159">
        <f t="shared" si="31"/>
        <v>1.9007176548127516E-2</v>
      </c>
      <c r="AW82" s="159">
        <f t="shared" si="31"/>
        <v>4.8725280880178995E-2</v>
      </c>
      <c r="AX82" s="159">
        <f t="shared" si="31"/>
        <v>1.7542203209876546E-2</v>
      </c>
      <c r="AY82" s="159">
        <f t="shared" si="31"/>
        <v>5.0633539031136973E-2</v>
      </c>
      <c r="AZ82" s="159">
        <f t="shared" si="31"/>
        <v>1.9007176548127516E-2</v>
      </c>
      <c r="BA82" s="159">
        <f t="shared" si="31"/>
        <v>2.5737349981219793E-2</v>
      </c>
      <c r="BB82" s="159">
        <f t="shared" si="31"/>
        <v>1.7542203209876546E-2</v>
      </c>
      <c r="BC82" s="159">
        <f t="shared" si="31"/>
        <v>3.4483118468469895E-2</v>
      </c>
      <c r="BD82" s="159">
        <f t="shared" si="31"/>
        <v>1.7023292755914004E-2</v>
      </c>
      <c r="BE82" s="159">
        <f t="shared" si="31"/>
        <v>6.3753956963921873E-2</v>
      </c>
      <c r="BF82" s="159">
        <f t="shared" si="31"/>
        <v>7.7586875038288938E-3</v>
      </c>
      <c r="BG82" s="159">
        <f t="shared" si="31"/>
        <v>6.1633539031136976E-2</v>
      </c>
      <c r="BH82" s="159">
        <f t="shared" si="31"/>
        <v>1.039050988146085E-2</v>
      </c>
      <c r="BI82" s="159">
        <f t="shared" si="31"/>
        <v>2.5737349981219793E-2</v>
      </c>
      <c r="BJ82" s="159">
        <f t="shared" si="31"/>
        <v>7.7586875038288938E-3</v>
      </c>
    </row>
    <row r="83" spans="4:62" x14ac:dyDescent="0.25">
      <c r="D83">
        <v>10</v>
      </c>
      <c r="AO83" s="159">
        <f t="shared" ref="AO83:BJ83" si="32">AO42</f>
        <v>7.8651813689331343E-2</v>
      </c>
      <c r="AP83" s="159">
        <f t="shared" si="32"/>
        <v>1.7660151076127548E-2</v>
      </c>
      <c r="AQ83" s="159">
        <f t="shared" si="32"/>
        <v>8.1932200552840131E-2</v>
      </c>
      <c r="AR83" s="159">
        <f t="shared" si="32"/>
        <v>1.9218715335295202E-2</v>
      </c>
      <c r="AS83" s="159">
        <f t="shared" si="32"/>
        <v>6.4134710998178746E-2</v>
      </c>
      <c r="AT83" s="159">
        <f t="shared" si="32"/>
        <v>1.7660151076127548E-2</v>
      </c>
      <c r="AU83" s="159">
        <f t="shared" si="32"/>
        <v>6.9165998533841311E-2</v>
      </c>
      <c r="AV83" s="159">
        <f t="shared" si="32"/>
        <v>1.9218715335295202E-2</v>
      </c>
      <c r="AW83" s="159">
        <f t="shared" si="32"/>
        <v>4.8878918472949319E-2</v>
      </c>
      <c r="AX83" s="159">
        <f t="shared" si="32"/>
        <v>1.7660151076127548E-2</v>
      </c>
      <c r="AY83" s="159">
        <f t="shared" si="32"/>
        <v>5.090908712769035E-2</v>
      </c>
      <c r="AZ83" s="159">
        <f t="shared" si="32"/>
        <v>1.9218715335295202E-2</v>
      </c>
      <c r="BA83" s="159">
        <f t="shared" si="32"/>
        <v>2.5891667969043807E-2</v>
      </c>
      <c r="BB83" s="159">
        <f t="shared" si="32"/>
        <v>1.7660151076127548E-2</v>
      </c>
      <c r="BC83" s="159">
        <f t="shared" si="32"/>
        <v>3.5165998533841308E-2</v>
      </c>
      <c r="BD83" s="159">
        <f t="shared" si="32"/>
        <v>1.7116853600292376E-2</v>
      </c>
      <c r="BE83" s="159">
        <f t="shared" si="32"/>
        <v>6.4134710998178746E-2</v>
      </c>
      <c r="BF83" s="159">
        <f t="shared" si="32"/>
        <v>7.8108543055148815E-3</v>
      </c>
      <c r="BG83" s="159">
        <f t="shared" si="32"/>
        <v>6.1909087127690353E-2</v>
      </c>
      <c r="BH83" s="159">
        <f t="shared" si="32"/>
        <v>1.0602048668628536E-2</v>
      </c>
      <c r="BI83" s="159">
        <f t="shared" si="32"/>
        <v>2.5891667969043807E-2</v>
      </c>
      <c r="BJ83" s="159">
        <f t="shared" si="32"/>
        <v>7.8108543055148815E-3</v>
      </c>
    </row>
    <row r="84" spans="4:62" x14ac:dyDescent="0.25">
      <c r="D84">
        <v>11</v>
      </c>
      <c r="AO84" s="159">
        <f t="shared" ref="AO84:BJ84" si="33">AO43</f>
        <v>7.8907026514600159E-2</v>
      </c>
      <c r="AP84" s="159">
        <f t="shared" si="33"/>
        <v>1.7781406770804892E-2</v>
      </c>
      <c r="AQ84" s="159">
        <f t="shared" si="33"/>
        <v>8.2407594672753215E-2</v>
      </c>
      <c r="AR84" s="159">
        <f t="shared" si="33"/>
        <v>1.9444582684221987E-2</v>
      </c>
      <c r="AS84" s="159">
        <f t="shared" si="33"/>
        <v>6.4526143216433282E-2</v>
      </c>
      <c r="AT84" s="159">
        <f t="shared" si="33"/>
        <v>1.7781406770804892E-2</v>
      </c>
      <c r="AU84" s="159">
        <f t="shared" si="33"/>
        <v>6.9895133422367098E-2</v>
      </c>
      <c r="AV84" s="159">
        <f t="shared" si="33"/>
        <v>1.9444582684221987E-2</v>
      </c>
      <c r="AW84" s="159">
        <f t="shared" si="33"/>
        <v>4.903686480663097E-2</v>
      </c>
      <c r="AX84" s="159">
        <f t="shared" si="33"/>
        <v>1.7781406770804892E-2</v>
      </c>
      <c r="AY84" s="159">
        <f t="shared" si="33"/>
        <v>5.1203299451130585E-2</v>
      </c>
      <c r="AZ84" s="159">
        <f t="shared" si="33"/>
        <v>1.9444582684221987E-2</v>
      </c>
      <c r="BA84" s="159">
        <f t="shared" si="33"/>
        <v>2.6050313779346052E-2</v>
      </c>
      <c r="BB84" s="159">
        <f t="shared" si="33"/>
        <v>1.7781406770804892E-2</v>
      </c>
      <c r="BC84" s="159">
        <f t="shared" si="33"/>
        <v>3.5895133422367095E-2</v>
      </c>
      <c r="BD84" s="159">
        <f t="shared" si="33"/>
        <v>1.7216751780508105E-2</v>
      </c>
      <c r="BE84" s="159">
        <f t="shared" si="33"/>
        <v>6.4526143216433282E-2</v>
      </c>
      <c r="BF84" s="159">
        <f t="shared" si="33"/>
        <v>7.864484116537224E-3</v>
      </c>
      <c r="BG84" s="159">
        <f t="shared" si="33"/>
        <v>6.2203299451130581E-2</v>
      </c>
      <c r="BH84" s="159">
        <f t="shared" si="33"/>
        <v>1.0827916017555322E-2</v>
      </c>
      <c r="BI84" s="159">
        <f t="shared" si="33"/>
        <v>2.6050313779346052E-2</v>
      </c>
      <c r="BJ84" s="159">
        <f t="shared" si="33"/>
        <v>7.864484116537224E-3</v>
      </c>
    </row>
    <row r="85" spans="4:62" x14ac:dyDescent="0.25">
      <c r="D85">
        <v>12</v>
      </c>
      <c r="AO85" s="159">
        <f t="shared" ref="AO85:BJ85" si="34">AO44</f>
        <v>7.8651813689331343E-2</v>
      </c>
      <c r="AP85" s="159">
        <f t="shared" si="34"/>
        <v>1.7660151076127548E-2</v>
      </c>
      <c r="AQ85" s="159">
        <f t="shared" si="34"/>
        <v>8.1932200552840131E-2</v>
      </c>
      <c r="AR85" s="159">
        <f t="shared" si="34"/>
        <v>1.9218715335295202E-2</v>
      </c>
      <c r="AS85" s="159">
        <f t="shared" si="34"/>
        <v>6.4134710998178746E-2</v>
      </c>
      <c r="AT85" s="159">
        <f t="shared" si="34"/>
        <v>1.7660151076127548E-2</v>
      </c>
      <c r="AU85" s="159">
        <f t="shared" si="34"/>
        <v>6.9165998533841311E-2</v>
      </c>
      <c r="AV85" s="159">
        <f t="shared" si="34"/>
        <v>1.9218715335295202E-2</v>
      </c>
      <c r="AW85" s="159">
        <f t="shared" si="34"/>
        <v>4.8878918472949319E-2</v>
      </c>
      <c r="AX85" s="159">
        <f t="shared" si="34"/>
        <v>1.7660151076127548E-2</v>
      </c>
      <c r="AY85" s="159">
        <f t="shared" si="34"/>
        <v>5.090908712769035E-2</v>
      </c>
      <c r="AZ85" s="159">
        <f t="shared" si="34"/>
        <v>1.9218715335295202E-2</v>
      </c>
      <c r="BA85" s="159">
        <f t="shared" si="34"/>
        <v>2.5891667969043807E-2</v>
      </c>
      <c r="BB85" s="159">
        <f t="shared" si="34"/>
        <v>1.7660151076127548E-2</v>
      </c>
      <c r="BC85" s="159">
        <f t="shared" si="34"/>
        <v>3.5165998533841308E-2</v>
      </c>
      <c r="BD85" s="159">
        <f t="shared" si="34"/>
        <v>1.7116853600292376E-2</v>
      </c>
      <c r="BE85" s="159">
        <f t="shared" si="34"/>
        <v>6.4134710998178746E-2</v>
      </c>
      <c r="BF85" s="159">
        <f t="shared" si="34"/>
        <v>7.8108543055148815E-3</v>
      </c>
      <c r="BG85" s="159">
        <f t="shared" si="34"/>
        <v>6.1909087127690353E-2</v>
      </c>
      <c r="BH85" s="159">
        <f t="shared" si="34"/>
        <v>1.0602048668628536E-2</v>
      </c>
      <c r="BI85" s="159">
        <f t="shared" si="34"/>
        <v>2.5891667969043807E-2</v>
      </c>
      <c r="BJ85" s="159">
        <f t="shared" si="34"/>
        <v>7.8108543055148815E-3</v>
      </c>
    </row>
    <row r="86" spans="4:62" x14ac:dyDescent="0.25">
      <c r="D86">
        <v>13</v>
      </c>
      <c r="AO86" s="159">
        <f t="shared" ref="AO86:BJ86" si="35">AO45</f>
        <v>7.8714874679294389E-2</v>
      </c>
      <c r="AP86" s="159">
        <f t="shared" si="35"/>
        <v>1.769011236093742E-2</v>
      </c>
      <c r="AQ86" s="159">
        <f t="shared" si="35"/>
        <v>8.2048275089056127E-2</v>
      </c>
      <c r="AR86" s="159">
        <f t="shared" si="35"/>
        <v>1.9273864203728418E-2</v>
      </c>
      <c r="AS86" s="159">
        <f t="shared" si="35"/>
        <v>5.7000000000000002E-2</v>
      </c>
      <c r="AT86" s="159">
        <f t="shared" si="35"/>
        <v>1.769011236093742E-2</v>
      </c>
      <c r="AU86" s="159">
        <f t="shared" si="35"/>
        <v>6.9344027647958245E-2</v>
      </c>
      <c r="AV86" s="159">
        <f t="shared" si="35"/>
        <v>1.9273864203728418E-2</v>
      </c>
      <c r="AW86" s="159">
        <f t="shared" si="35"/>
        <v>4.8917945712871558E-2</v>
      </c>
      <c r="AX86" s="159">
        <f t="shared" si="35"/>
        <v>1.769011236093742E-2</v>
      </c>
      <c r="AY86" s="159">
        <f t="shared" si="35"/>
        <v>5.0980923436895434E-2</v>
      </c>
      <c r="AZ86" s="159">
        <f t="shared" si="35"/>
        <v>1.9273864203728418E-2</v>
      </c>
      <c r="BA86" s="159">
        <f t="shared" si="35"/>
        <v>2.5930868043885707E-2</v>
      </c>
      <c r="BB86" s="159">
        <f t="shared" si="35"/>
        <v>1.769011236093742E-2</v>
      </c>
      <c r="BC86" s="159">
        <f t="shared" si="35"/>
        <v>3.5344027647958243E-2</v>
      </c>
      <c r="BD86" s="159">
        <f t="shared" si="35"/>
        <v>1.7141245224949999E-2</v>
      </c>
      <c r="BE86" s="159">
        <f t="shared" si="35"/>
        <v>6.4231430679725171E-2</v>
      </c>
      <c r="BF86" s="159">
        <f t="shared" si="35"/>
        <v>7.8241057907058702E-3</v>
      </c>
      <c r="BG86" s="159">
        <f t="shared" si="35"/>
        <v>6.1980923436895437E-2</v>
      </c>
      <c r="BH86" s="159">
        <f t="shared" si="35"/>
        <v>1.0657197537061751E-2</v>
      </c>
      <c r="BI86" s="159">
        <f t="shared" si="35"/>
        <v>2.5930868043885707E-2</v>
      </c>
      <c r="BJ86" s="159">
        <f t="shared" si="35"/>
        <v>7.8241057907058702E-3</v>
      </c>
    </row>
    <row r="87" spans="4:62" x14ac:dyDescent="0.25">
      <c r="D87">
        <v>14</v>
      </c>
      <c r="AO87" s="159">
        <f t="shared" ref="AO87:BJ87" si="36">AO46</f>
        <v>7.8842436356716186E-2</v>
      </c>
      <c r="AP87" s="159">
        <f t="shared" si="36"/>
        <v>1.7750718953861162E-2</v>
      </c>
      <c r="AQ87" s="159">
        <f t="shared" si="36"/>
        <v>8.2286003715733427E-2</v>
      </c>
      <c r="AR87" s="159">
        <f t="shared" si="36"/>
        <v>1.9386812876045666E-2</v>
      </c>
      <c r="AS87" s="159">
        <f t="shared" si="36"/>
        <v>6.442707817629939E-2</v>
      </c>
      <c r="AT87" s="159">
        <f t="shared" si="36"/>
        <v>1.7750718953861162E-2</v>
      </c>
      <c r="AU87" s="159">
        <f t="shared" si="36"/>
        <v>6.9708643507623153E-2</v>
      </c>
      <c r="AV87" s="159">
        <f t="shared" si="36"/>
        <v>1.9386812876045666E-2</v>
      </c>
      <c r="AW87" s="159">
        <f t="shared" si="36"/>
        <v>4.8996891193945367E-2</v>
      </c>
      <c r="AX87" s="159">
        <f t="shared" si="36"/>
        <v>1.7750718953861162E-2</v>
      </c>
      <c r="AY87" s="159">
        <f t="shared" si="36"/>
        <v>5.1128049134654956E-2</v>
      </c>
      <c r="AZ87" s="159">
        <f t="shared" si="36"/>
        <v>1.9386812876045666E-2</v>
      </c>
      <c r="BA87" s="159">
        <f t="shared" si="36"/>
        <v>2.6010163140661412E-2</v>
      </c>
      <c r="BB87" s="159">
        <f t="shared" si="36"/>
        <v>1.7750718953861162E-2</v>
      </c>
      <c r="BC87" s="159">
        <f t="shared" si="36"/>
        <v>3.5708643507623157E-2</v>
      </c>
      <c r="BD87" s="159">
        <f t="shared" si="36"/>
        <v>1.7191200948412862E-2</v>
      </c>
      <c r="BE87" s="159">
        <f t="shared" si="36"/>
        <v>6.442707817629939E-2</v>
      </c>
      <c r="BF87" s="159">
        <f t="shared" si="36"/>
        <v>7.8509112956667501E-3</v>
      </c>
      <c r="BG87" s="159">
        <f t="shared" si="36"/>
        <v>6.2128049134654958E-2</v>
      </c>
      <c r="BH87" s="159">
        <f t="shared" si="36"/>
        <v>1.0770146209379002E-2</v>
      </c>
      <c r="BI87" s="159">
        <f t="shared" si="36"/>
        <v>2.6010163140661412E-2</v>
      </c>
      <c r="BJ87" s="159">
        <f t="shared" si="36"/>
        <v>7.8509112956667501E-3</v>
      </c>
    </row>
    <row r="88" spans="4:62" x14ac:dyDescent="0.25">
      <c r="D88">
        <v>15</v>
      </c>
      <c r="AO88" s="159">
        <f t="shared" ref="AO88:BJ88" si="37">AO47</f>
        <v>7.9524360215036435E-2</v>
      </c>
      <c r="AP88" s="159">
        <f t="shared" si="37"/>
        <v>1.8074711884351939E-2</v>
      </c>
      <c r="AQ88" s="159">
        <f t="shared" si="37"/>
        <v>8.3573590320850336E-2</v>
      </c>
      <c r="AR88" s="159">
        <f t="shared" si="37"/>
        <v>1.9998565863366107E-2</v>
      </c>
      <c r="AS88" s="159">
        <f t="shared" si="37"/>
        <v>6.5472977684922523E-2</v>
      </c>
      <c r="AT88" s="159">
        <f t="shared" si="37"/>
        <v>1.8074711884351939E-2</v>
      </c>
      <c r="AU88" s="159">
        <f t="shared" si="37"/>
        <v>7.1683477180283797E-2</v>
      </c>
      <c r="AV88" s="159">
        <f t="shared" si="37"/>
        <v>1.9998565863366107E-2</v>
      </c>
      <c r="AW88" s="159">
        <f t="shared" si="37"/>
        <v>4.9418920820231894E-2</v>
      </c>
      <c r="AX88" s="159">
        <f t="shared" si="37"/>
        <v>1.8074711884351939E-2</v>
      </c>
      <c r="AY88" s="159">
        <f t="shared" si="37"/>
        <v>5.1924911844675917E-2</v>
      </c>
      <c r="AZ88" s="159">
        <f t="shared" si="37"/>
        <v>1.9998565863366107E-2</v>
      </c>
      <c r="BA88" s="159">
        <f t="shared" si="37"/>
        <v>2.643406175529292E-2</v>
      </c>
      <c r="BB88" s="159">
        <f t="shared" si="37"/>
        <v>1.8074711884351939E-2</v>
      </c>
      <c r="BC88" s="159">
        <f t="shared" si="37"/>
        <v>3.7683477180283795E-2</v>
      </c>
      <c r="BD88" s="159">
        <f t="shared" si="37"/>
        <v>1.7461771309579398E-2</v>
      </c>
      <c r="BE88" s="159">
        <f t="shared" si="37"/>
        <v>6.5472977684922523E-2</v>
      </c>
      <c r="BF88" s="159">
        <f t="shared" si="37"/>
        <v>7.994209139788884E-3</v>
      </c>
      <c r="BG88" s="159">
        <f t="shared" si="37"/>
        <v>6.2924911844675913E-2</v>
      </c>
      <c r="BH88" s="159">
        <f t="shared" si="37"/>
        <v>1.1381899196699441E-2</v>
      </c>
      <c r="BI88" s="159">
        <f t="shared" si="37"/>
        <v>2.643406175529292E-2</v>
      </c>
      <c r="BJ88" s="159">
        <f t="shared" si="37"/>
        <v>7.994209139788884E-3</v>
      </c>
    </row>
    <row r="89" spans="4:62" x14ac:dyDescent="0.25">
      <c r="D89">
        <v>16</v>
      </c>
      <c r="AO89" s="159">
        <f t="shared" ref="AO89:BJ89" si="38">AO48</f>
        <v>7.774663578032584E-2</v>
      </c>
      <c r="AP89" s="159">
        <f t="shared" si="38"/>
        <v>1.7230086575852399E-2</v>
      </c>
      <c r="AQ89" s="159">
        <f t="shared" si="38"/>
        <v>8.0420085656800297E-2</v>
      </c>
      <c r="AR89" s="159">
        <f t="shared" si="38"/>
        <v>1.8500285366275668E-2</v>
      </c>
      <c r="AS89" s="159">
        <f t="shared" si="38"/>
        <v>6.2746395985154593E-2</v>
      </c>
      <c r="AT89" s="159">
        <f t="shared" si="38"/>
        <v>1.7230086575852399E-2</v>
      </c>
      <c r="AU89" s="159">
        <f t="shared" si="38"/>
        <v>6.6846794993074374E-2</v>
      </c>
      <c r="AV89" s="159">
        <f t="shared" si="38"/>
        <v>1.8500285366275668E-2</v>
      </c>
      <c r="AW89" s="159">
        <f t="shared" si="38"/>
        <v>4.8318721186992201E-2</v>
      </c>
      <c r="AX89" s="159">
        <f t="shared" si="38"/>
        <v>1.7230086575852399E-2</v>
      </c>
      <c r="AY89" s="159">
        <f t="shared" si="38"/>
        <v>4.9973268155100184E-2</v>
      </c>
      <c r="AZ89" s="159">
        <f t="shared" si="38"/>
        <v>1.8500285366275668E-2</v>
      </c>
      <c r="BA89" s="159">
        <f t="shared" si="38"/>
        <v>2.5328989809391741E-2</v>
      </c>
      <c r="BB89" s="159">
        <f t="shared" si="38"/>
        <v>1.7230086575852399E-2</v>
      </c>
      <c r="BC89" s="159">
        <f t="shared" si="38"/>
        <v>3.2846794993074371E-2</v>
      </c>
      <c r="BD89" s="159">
        <f t="shared" si="38"/>
        <v>1.6799101402559895E-2</v>
      </c>
      <c r="BE89" s="159">
        <f t="shared" si="38"/>
        <v>6.2746395985154593E-2</v>
      </c>
      <c r="BF89" s="159">
        <f t="shared" si="38"/>
        <v>7.6206423906143295E-3</v>
      </c>
      <c r="BG89" s="159">
        <f t="shared" si="38"/>
        <v>6.0973268155100187E-2</v>
      </c>
      <c r="BH89" s="159">
        <f t="shared" si="38"/>
        <v>9.8836186996090029E-3</v>
      </c>
      <c r="BI89" s="159">
        <f t="shared" si="38"/>
        <v>2.5328989809391741E-2</v>
      </c>
      <c r="BJ89" s="159">
        <f t="shared" si="38"/>
        <v>7.6206423906143295E-3</v>
      </c>
    </row>
  </sheetData>
  <mergeCells count="192">
    <mergeCell ref="BG71:BH71"/>
    <mergeCell ref="BI71:BJ71"/>
    <mergeCell ref="AO72:AP72"/>
    <mergeCell ref="AQ72:AR72"/>
    <mergeCell ref="AS72:AT72"/>
    <mergeCell ref="AU72:AV72"/>
    <mergeCell ref="AW72:AX72"/>
    <mergeCell ref="AY72:AZ72"/>
    <mergeCell ref="BA72:BB72"/>
    <mergeCell ref="BC72:BD72"/>
    <mergeCell ref="BE72:BF72"/>
    <mergeCell ref="BG72:BH72"/>
    <mergeCell ref="BI72:BJ72"/>
    <mergeCell ref="AO71:AP71"/>
    <mergeCell ref="AQ71:AR71"/>
    <mergeCell ref="AS71:AT71"/>
    <mergeCell ref="AU71:AV71"/>
    <mergeCell ref="AW71:AX71"/>
    <mergeCell ref="AY71:AZ71"/>
    <mergeCell ref="BA71:BB71"/>
    <mergeCell ref="BC71:BD71"/>
    <mergeCell ref="BE71:BF71"/>
    <mergeCell ref="AI30:AJ30"/>
    <mergeCell ref="AK30:AL30"/>
    <mergeCell ref="AM30:AN30"/>
    <mergeCell ref="E31:F31"/>
    <mergeCell ref="G31:H31"/>
    <mergeCell ref="I31:J31"/>
    <mergeCell ref="K31:L31"/>
    <mergeCell ref="M31:N31"/>
    <mergeCell ref="O31:P31"/>
    <mergeCell ref="AM31:AN31"/>
    <mergeCell ref="AG31:AH31"/>
    <mergeCell ref="AI31:AJ31"/>
    <mergeCell ref="AK31:AL31"/>
    <mergeCell ref="S31:T31"/>
    <mergeCell ref="U31:V31"/>
    <mergeCell ref="W31:X31"/>
    <mergeCell ref="Y31:Z31"/>
    <mergeCell ref="AA31:AB31"/>
    <mergeCell ref="I30:J30"/>
    <mergeCell ref="AG30:AH30"/>
    <mergeCell ref="K30:L30"/>
    <mergeCell ref="M30:N30"/>
    <mergeCell ref="O30:P30"/>
    <mergeCell ref="Q30:R30"/>
    <mergeCell ref="S30:T30"/>
    <mergeCell ref="U30:V30"/>
    <mergeCell ref="Q31:R31"/>
    <mergeCell ref="W30:X30"/>
    <mergeCell ref="Y30:Z30"/>
    <mergeCell ref="AA30:AB30"/>
    <mergeCell ref="AC30:AD30"/>
    <mergeCell ref="AE30:AF30"/>
    <mergeCell ref="AC31:AD31"/>
    <mergeCell ref="AE31:AF31"/>
    <mergeCell ref="G5:H5"/>
    <mergeCell ref="E5:F5"/>
    <mergeCell ref="E4:F4"/>
    <mergeCell ref="B4:B6"/>
    <mergeCell ref="C4:C6"/>
    <mergeCell ref="D4:D6"/>
    <mergeCell ref="G4:H4"/>
    <mergeCell ref="B30:B32"/>
    <mergeCell ref="C30:C32"/>
    <mergeCell ref="D30:D32"/>
    <mergeCell ref="E30:F30"/>
    <mergeCell ref="G30:H30"/>
    <mergeCell ref="I5:J5"/>
    <mergeCell ref="K5:L5"/>
    <mergeCell ref="Q5:R5"/>
    <mergeCell ref="S5:T5"/>
    <mergeCell ref="M5:N5"/>
    <mergeCell ref="O5:P5"/>
    <mergeCell ref="I4:J4"/>
    <mergeCell ref="K4:L4"/>
    <mergeCell ref="Q4:R4"/>
    <mergeCell ref="S4:T4"/>
    <mergeCell ref="M4:N4"/>
    <mergeCell ref="O4:P4"/>
    <mergeCell ref="AK4:AL4"/>
    <mergeCell ref="AM4:AN4"/>
    <mergeCell ref="AK5:AL5"/>
    <mergeCell ref="AM5:AN5"/>
    <mergeCell ref="U4:V4"/>
    <mergeCell ref="W4:X4"/>
    <mergeCell ref="U5:V5"/>
    <mergeCell ref="W5:X5"/>
    <mergeCell ref="Y5:Z5"/>
    <mergeCell ref="AA5:AB5"/>
    <mergeCell ref="AG5:AH5"/>
    <mergeCell ref="AI5:AJ5"/>
    <mergeCell ref="AC5:AD5"/>
    <mergeCell ref="AE5:AF5"/>
    <mergeCell ref="Y4:Z4"/>
    <mergeCell ref="AA4:AB4"/>
    <mergeCell ref="AG4:AH4"/>
    <mergeCell ref="AI4:AJ4"/>
    <mergeCell ref="AC4:AD4"/>
    <mergeCell ref="AE4:AF4"/>
    <mergeCell ref="AO5:AP5"/>
    <mergeCell ref="AQ5:AR5"/>
    <mergeCell ref="BE5:BF5"/>
    <mergeCell ref="BG5:BH5"/>
    <mergeCell ref="BI5:BJ5"/>
    <mergeCell ref="BK5:BL5"/>
    <mergeCell ref="AS5:AT5"/>
    <mergeCell ref="AU5:AV5"/>
    <mergeCell ref="AW5:AX5"/>
    <mergeCell ref="AY5:AZ5"/>
    <mergeCell ref="BA5:BB5"/>
    <mergeCell ref="BC5:BD5"/>
    <mergeCell ref="BA4:BB4"/>
    <mergeCell ref="BC4:BD4"/>
    <mergeCell ref="BE4:BF4"/>
    <mergeCell ref="BG4:BH4"/>
    <mergeCell ref="BI4:BJ4"/>
    <mergeCell ref="BK4:BL4"/>
    <mergeCell ref="AO4:AP4"/>
    <mergeCell ref="AQ4:AR4"/>
    <mergeCell ref="AS4:AT4"/>
    <mergeCell ref="AU4:AV4"/>
    <mergeCell ref="AW4:AX4"/>
    <mergeCell ref="AY4:AZ4"/>
    <mergeCell ref="BE30:BF30"/>
    <mergeCell ref="BG30:BH30"/>
    <mergeCell ref="BI30:BJ30"/>
    <mergeCell ref="BK30:BL30"/>
    <mergeCell ref="AO31:AP31"/>
    <mergeCell ref="AQ31:AR31"/>
    <mergeCell ref="BE31:BF31"/>
    <mergeCell ref="BG31:BH31"/>
    <mergeCell ref="BI31:BJ31"/>
    <mergeCell ref="BK31:BL31"/>
    <mergeCell ref="AO30:AP30"/>
    <mergeCell ref="AQ30:AR30"/>
    <mergeCell ref="AS30:AT30"/>
    <mergeCell ref="AU30:AV30"/>
    <mergeCell ref="AW30:AX30"/>
    <mergeCell ref="AY30:AZ30"/>
    <mergeCell ref="AS31:AT31"/>
    <mergeCell ref="AU31:AV31"/>
    <mergeCell ref="AW31:AX31"/>
    <mergeCell ref="AY31:AZ31"/>
    <mergeCell ref="BA31:BB31"/>
    <mergeCell ref="BC31:BD31"/>
    <mergeCell ref="BA30:BB30"/>
    <mergeCell ref="BC30:BD30"/>
    <mergeCell ref="AO70:AP70"/>
    <mergeCell ref="AQ70:AR70"/>
    <mergeCell ref="AS70:AT70"/>
    <mergeCell ref="AU70:AV70"/>
    <mergeCell ref="AW70:AX70"/>
    <mergeCell ref="AO49:AP49"/>
    <mergeCell ref="AQ49:AR49"/>
    <mergeCell ref="AS49:AT49"/>
    <mergeCell ref="AU49:AV49"/>
    <mergeCell ref="AW49:AX49"/>
    <mergeCell ref="AO50:AP50"/>
    <mergeCell ref="AQ50:AR50"/>
    <mergeCell ref="AS50:AT50"/>
    <mergeCell ref="AU50:AV50"/>
    <mergeCell ref="AW50:AX50"/>
    <mergeCell ref="AO51:AP51"/>
    <mergeCell ref="AQ51:AR51"/>
    <mergeCell ref="AS51:AT51"/>
    <mergeCell ref="AU51:AV51"/>
    <mergeCell ref="AW51:AX51"/>
    <mergeCell ref="AY70:AZ70"/>
    <mergeCell ref="BA70:BB70"/>
    <mergeCell ref="BC70:BD70"/>
    <mergeCell ref="BE70:BF70"/>
    <mergeCell ref="BG70:BH70"/>
    <mergeCell ref="BI70:BJ70"/>
    <mergeCell ref="BA49:BB49"/>
    <mergeCell ref="BC49:BD49"/>
    <mergeCell ref="BE49:BF49"/>
    <mergeCell ref="BG49:BH49"/>
    <mergeCell ref="BI49:BJ49"/>
    <mergeCell ref="AY49:AZ49"/>
    <mergeCell ref="AY50:AZ50"/>
    <mergeCell ref="BA50:BB50"/>
    <mergeCell ref="BC50:BD50"/>
    <mergeCell ref="BE50:BF50"/>
    <mergeCell ref="BG50:BH50"/>
    <mergeCell ref="BI50:BJ50"/>
    <mergeCell ref="AY51:AZ51"/>
    <mergeCell ref="BA51:BB51"/>
    <mergeCell ref="BC51:BD51"/>
    <mergeCell ref="BE51:BF51"/>
    <mergeCell ref="BG51:BH51"/>
    <mergeCell ref="BI51:BJ51"/>
  </mergeCells>
  <phoneticPr fontId="13" type="noConversion"/>
  <pageMargins left="0.75" right="0.75" top="1" bottom="1" header="0.5" footer="0.5"/>
  <pageSetup orientation="landscape" r:id="rId1"/>
  <headerFooter alignWithMargins="0"/>
  <colBreaks count="3" manualBreakCount="3">
    <brk id="4" max="1048575" man="1"/>
    <brk id="18" max="26" man="1"/>
    <brk id="32" max="2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7"/>
  <sheetViews>
    <sheetView tabSelected="1" topLeftCell="A12" workbookViewId="0">
      <selection activeCell="C43" sqref="C43"/>
    </sheetView>
  </sheetViews>
  <sheetFormatPr defaultRowHeight="13.2" x14ac:dyDescent="0.25"/>
  <cols>
    <col min="1" max="1" width="12.5546875" bestFit="1" customWidth="1"/>
    <col min="2" max="2" width="11.88671875" bestFit="1" customWidth="1"/>
    <col min="3" max="3" width="13.5546875" customWidth="1"/>
    <col min="4" max="4" width="14.44140625" bestFit="1" customWidth="1"/>
    <col min="5" max="5" width="11.5546875" bestFit="1" customWidth="1"/>
    <col min="6" max="6" width="19.33203125" bestFit="1" customWidth="1"/>
    <col min="7" max="7" width="14.44140625" bestFit="1" customWidth="1"/>
    <col min="8" max="8" width="11.5546875" bestFit="1" customWidth="1"/>
    <col min="9" max="9" width="20.6640625" bestFit="1" customWidth="1"/>
  </cols>
  <sheetData>
    <row r="2" spans="1:9" x14ac:dyDescent="0.25">
      <c r="C2" s="300" t="s">
        <v>257</v>
      </c>
      <c r="D2" s="300"/>
      <c r="E2" s="300"/>
      <c r="F2" s="300" t="s">
        <v>258</v>
      </c>
      <c r="G2" s="300"/>
      <c r="H2" s="300"/>
    </row>
    <row r="3" spans="1:9" x14ac:dyDescent="0.25">
      <c r="A3" s="160" t="s">
        <v>253</v>
      </c>
      <c r="B3" s="160" t="s">
        <v>48</v>
      </c>
      <c r="C3" s="160" t="s">
        <v>254</v>
      </c>
      <c r="D3" s="160" t="s">
        <v>255</v>
      </c>
      <c r="E3" s="160" t="s">
        <v>256</v>
      </c>
      <c r="F3" s="160" t="s">
        <v>254</v>
      </c>
      <c r="G3" s="160" t="s">
        <v>255</v>
      </c>
      <c r="H3" s="160" t="s">
        <v>256</v>
      </c>
      <c r="I3" s="258" t="s">
        <v>259</v>
      </c>
    </row>
    <row r="4" spans="1:9" x14ac:dyDescent="0.25">
      <c r="A4" s="160" t="s">
        <v>233</v>
      </c>
      <c r="B4" s="160">
        <v>1</v>
      </c>
      <c r="C4" s="160">
        <f>Summary!AO53</f>
        <v>7.9015941811614324E-2</v>
      </c>
      <c r="D4" s="160">
        <f>Summary!AP53</f>
        <v>1.7833154170201964E-2</v>
      </c>
      <c r="E4" s="160">
        <f>C4-D4</f>
        <v>6.1182787641412356E-2</v>
      </c>
      <c r="F4" s="160">
        <f>Summary!AO74</f>
        <v>7.6866396860759439E-2</v>
      </c>
      <c r="G4" s="160">
        <f>Summary!AP74</f>
        <v>1.6811870988286879E-2</v>
      </c>
      <c r="H4" s="160">
        <f>F4-G4</f>
        <v>6.0054525872472564E-2</v>
      </c>
      <c r="I4" s="258">
        <f>AVERAGE(H4,E4)</f>
        <v>6.061865675694246E-2</v>
      </c>
    </row>
    <row r="5" spans="1:9" x14ac:dyDescent="0.25">
      <c r="A5" s="160" t="s">
        <v>233</v>
      </c>
      <c r="B5" s="160">
        <v>2</v>
      </c>
      <c r="C5" s="160">
        <f>Summary!AO54</f>
        <v>8.1409902017750016E-2</v>
      </c>
      <c r="D5" s="160">
        <f>Summary!AP54</f>
        <v>1.8970562948617133E-2</v>
      </c>
      <c r="E5" s="160">
        <f t="shared" ref="E5:E67" si="0">C5-D5</f>
        <v>6.2439339069132883E-2</v>
      </c>
      <c r="F5" s="160">
        <f>Summary!AO75</f>
        <v>7.8403563013266619E-2</v>
      </c>
      <c r="G5" s="160">
        <f>Summary!AP75</f>
        <v>1.7542203209876546E-2</v>
      </c>
      <c r="H5" s="160">
        <f t="shared" ref="H5:H67" si="1">F5-G5</f>
        <v>6.0861359803390074E-2</v>
      </c>
      <c r="I5" s="258">
        <f t="shared" ref="I5:I67" si="2">AVERAGE(H5,E5)</f>
        <v>6.1650349436261478E-2</v>
      </c>
    </row>
    <row r="6" spans="1:9" x14ac:dyDescent="0.25">
      <c r="A6" s="160" t="s">
        <v>233</v>
      </c>
      <c r="B6" s="160">
        <v>3</v>
      </c>
      <c r="C6" s="160">
        <f>Summary!AO55</f>
        <v>8.0655222425508474E-2</v>
      </c>
      <c r="D6" s="160">
        <f>Summary!AP55</f>
        <v>1.8612002605422499E-2</v>
      </c>
      <c r="E6" s="160">
        <f t="shared" si="0"/>
        <v>6.2043219820085975E-2</v>
      </c>
      <c r="F6" s="160">
        <f>Summary!AO76</f>
        <v>7.7981470762731403E-2</v>
      </c>
      <c r="G6" s="160">
        <f>Summary!AP76</f>
        <v>1.7341660431500656E-2</v>
      </c>
      <c r="H6" s="160">
        <f t="shared" si="1"/>
        <v>6.0639810331230747E-2</v>
      </c>
      <c r="I6" s="258">
        <f t="shared" si="2"/>
        <v>6.1341515075658361E-2</v>
      </c>
    </row>
    <row r="7" spans="1:9" x14ac:dyDescent="0.25">
      <c r="A7" s="160" t="s">
        <v>233</v>
      </c>
      <c r="B7" s="160">
        <v>4</v>
      </c>
      <c r="C7" s="160">
        <f>Summary!AO56</f>
        <v>8.0556551203521676E-2</v>
      </c>
      <c r="D7" s="160">
        <f>Summary!AP56</f>
        <v>1.8565122329895326E-2</v>
      </c>
      <c r="E7" s="160">
        <f t="shared" si="0"/>
        <v>6.1991428873626353E-2</v>
      </c>
      <c r="F7" s="160">
        <f>Summary!AO77</f>
        <v>7.792232086188372E-2</v>
      </c>
      <c r="G7" s="160">
        <f>Summary!AP77</f>
        <v>1.7313557367676074E-2</v>
      </c>
      <c r="H7" s="160">
        <f t="shared" si="1"/>
        <v>6.0608763494207643E-2</v>
      </c>
      <c r="I7" s="258">
        <f t="shared" si="2"/>
        <v>6.1300096183916998E-2</v>
      </c>
    </row>
    <row r="8" spans="1:9" x14ac:dyDescent="0.25">
      <c r="A8" s="160" t="s">
        <v>233</v>
      </c>
      <c r="B8" s="160">
        <v>5</v>
      </c>
      <c r="C8" s="160">
        <f>Summary!AO57</f>
        <v>8.009313760923592E-2</v>
      </c>
      <c r="D8" s="160">
        <f>Summary!AP57</f>
        <v>1.8344947120287995E-2</v>
      </c>
      <c r="E8" s="160">
        <f t="shared" si="0"/>
        <v>6.1748190488947925E-2</v>
      </c>
      <c r="F8" s="160">
        <f>Summary!AO78</f>
        <v>7.7631066471521418E-2</v>
      </c>
      <c r="G8" s="160">
        <f>Summary!AP78</f>
        <v>1.7175177749042071E-2</v>
      </c>
      <c r="H8" s="160">
        <f t="shared" si="1"/>
        <v>6.0455888722479346E-2</v>
      </c>
      <c r="I8" s="258">
        <f t="shared" si="2"/>
        <v>6.1102039605713636E-2</v>
      </c>
    </row>
    <row r="9" spans="1:9" x14ac:dyDescent="0.25">
      <c r="A9" s="160" t="s">
        <v>233</v>
      </c>
      <c r="B9" s="160">
        <v>6</v>
      </c>
      <c r="C9" s="160">
        <f>Summary!AO58</f>
        <v>8.0365376598728583E-2</v>
      </c>
      <c r="D9" s="160">
        <f>Summary!AP58</f>
        <v>1.8474292217872407E-2</v>
      </c>
      <c r="E9" s="160">
        <f t="shared" si="0"/>
        <v>6.1891084380856179E-2</v>
      </c>
      <c r="F9" s="160">
        <f>Summary!AO79</f>
        <v>7.7804896209298438E-2</v>
      </c>
      <c r="G9" s="160">
        <f>Summary!AP79</f>
        <v>1.7257767037364598E-2</v>
      </c>
      <c r="H9" s="160">
        <f t="shared" si="1"/>
        <v>6.054712917193384E-2</v>
      </c>
      <c r="I9" s="258">
        <f t="shared" si="2"/>
        <v>6.1219106776395013E-2</v>
      </c>
    </row>
    <row r="10" spans="1:9" x14ac:dyDescent="0.25">
      <c r="A10" s="160" t="s">
        <v>233</v>
      </c>
      <c r="B10" s="160">
        <v>7</v>
      </c>
      <c r="C10" s="160">
        <f>Summary!AO59</f>
        <v>8.009313760923592E-2</v>
      </c>
      <c r="D10" s="160">
        <f>Summary!AP59</f>
        <v>1.8344947120287995E-2</v>
      </c>
      <c r="E10" s="160">
        <f t="shared" si="0"/>
        <v>6.1748190488947925E-2</v>
      </c>
      <c r="F10" s="160">
        <f>Summary!AO80</f>
        <v>7.7631066471521418E-2</v>
      </c>
      <c r="G10" s="160">
        <f>Summary!AP80</f>
        <v>1.7175177749042071E-2</v>
      </c>
      <c r="H10" s="160">
        <f t="shared" si="1"/>
        <v>6.0455888722479346E-2</v>
      </c>
      <c r="I10" s="258">
        <f t="shared" si="2"/>
        <v>6.1102039605713636E-2</v>
      </c>
    </row>
    <row r="11" spans="1:9" x14ac:dyDescent="0.25">
      <c r="A11" s="160" t="s">
        <v>233</v>
      </c>
      <c r="B11" s="160">
        <v>8</v>
      </c>
      <c r="C11" s="160">
        <f>Summary!AO60</f>
        <v>8.0655222425508474E-2</v>
      </c>
      <c r="D11" s="160">
        <f>Summary!AP60</f>
        <v>1.8612002605422499E-2</v>
      </c>
      <c r="E11" s="160">
        <f t="shared" si="0"/>
        <v>6.2043219820085975E-2</v>
      </c>
      <c r="F11" s="160">
        <f>Summary!AO81</f>
        <v>7.8281492418400322E-2</v>
      </c>
      <c r="G11" s="160">
        <f>Summary!AP81</f>
        <v>1.7484205518088922E-2</v>
      </c>
      <c r="H11" s="160">
        <f t="shared" si="1"/>
        <v>6.0797286900311401E-2</v>
      </c>
      <c r="I11" s="258">
        <f t="shared" si="2"/>
        <v>6.1420253360198684E-2</v>
      </c>
    </row>
    <row r="12" spans="1:9" x14ac:dyDescent="0.25">
      <c r="A12" s="160" t="s">
        <v>233</v>
      </c>
      <c r="B12" s="160">
        <v>9</v>
      </c>
      <c r="C12" s="160">
        <f>Summary!AO61</f>
        <v>8.1409902017750016E-2</v>
      </c>
      <c r="D12" s="160">
        <f>Summary!AP61</f>
        <v>1.8970562948617133E-2</v>
      </c>
      <c r="E12" s="160">
        <f t="shared" si="0"/>
        <v>6.2439339069132883E-2</v>
      </c>
      <c r="F12" s="160">
        <f>Summary!AO82</f>
        <v>7.8403563013266619E-2</v>
      </c>
      <c r="G12" s="160">
        <f>Summary!AP82</f>
        <v>1.7542203209876546E-2</v>
      </c>
      <c r="H12" s="160">
        <f t="shared" si="1"/>
        <v>6.0861359803390074E-2</v>
      </c>
      <c r="I12" s="258">
        <f t="shared" si="2"/>
        <v>6.1650349436261478E-2</v>
      </c>
    </row>
    <row r="13" spans="1:9" x14ac:dyDescent="0.25">
      <c r="A13" s="160" t="s">
        <v>233</v>
      </c>
      <c r="B13" s="160">
        <v>10</v>
      </c>
      <c r="C13" s="160">
        <f>Summary!AO62</f>
        <v>8.1898492363192243E-2</v>
      </c>
      <c r="D13" s="160">
        <f>Summary!AP62</f>
        <v>1.9202700035328341E-2</v>
      </c>
      <c r="E13" s="160">
        <f t="shared" si="0"/>
        <v>6.2695792327863903E-2</v>
      </c>
      <c r="F13" s="160">
        <f>Summary!AO83</f>
        <v>7.8651813689331343E-2</v>
      </c>
      <c r="G13" s="160">
        <f>Summary!AP83</f>
        <v>1.7660151076127548E-2</v>
      </c>
      <c r="H13" s="160">
        <f t="shared" si="1"/>
        <v>6.0991662613203795E-2</v>
      </c>
      <c r="I13" s="258">
        <f t="shared" si="2"/>
        <v>6.1843727470533849E-2</v>
      </c>
    </row>
    <row r="14" spans="1:9" x14ac:dyDescent="0.25">
      <c r="A14" s="160" t="s">
        <v>233</v>
      </c>
      <c r="B14" s="160">
        <v>11</v>
      </c>
      <c r="C14" s="160">
        <f>Summary!AO63</f>
        <v>8.2436534360075572E-2</v>
      </c>
      <c r="D14" s="160">
        <f>Summary!AP63</f>
        <v>1.9458332392475568E-2</v>
      </c>
      <c r="E14" s="160">
        <f t="shared" si="0"/>
        <v>6.2978201967600012E-2</v>
      </c>
      <c r="F14" s="160">
        <f>Summary!AO84</f>
        <v>7.8907026514600159E-2</v>
      </c>
      <c r="G14" s="160">
        <f>Summary!AP84</f>
        <v>1.7781406770804892E-2</v>
      </c>
      <c r="H14" s="160">
        <f t="shared" si="1"/>
        <v>6.1125619743795268E-2</v>
      </c>
      <c r="I14" s="258">
        <f t="shared" si="2"/>
        <v>6.205191085569764E-2</v>
      </c>
    </row>
    <row r="15" spans="1:9" x14ac:dyDescent="0.25">
      <c r="A15" s="160" t="s">
        <v>233</v>
      </c>
      <c r="B15" s="160">
        <v>12</v>
      </c>
      <c r="C15" s="160">
        <f>Summary!AO64</f>
        <v>8.1898492363192243E-2</v>
      </c>
      <c r="D15" s="160">
        <f>Summary!AP64</f>
        <v>1.9202700035328341E-2</v>
      </c>
      <c r="E15" s="160">
        <f t="shared" si="0"/>
        <v>6.2695792327863903E-2</v>
      </c>
      <c r="F15" s="160">
        <f>Summary!AO85</f>
        <v>7.8651813689331343E-2</v>
      </c>
      <c r="G15" s="160">
        <f>Summary!AP85</f>
        <v>1.7660151076127548E-2</v>
      </c>
      <c r="H15" s="160">
        <f t="shared" si="1"/>
        <v>6.0991662613203795E-2</v>
      </c>
      <c r="I15" s="258">
        <f t="shared" si="2"/>
        <v>6.1843727470533849E-2</v>
      </c>
    </row>
    <row r="16" spans="1:9" x14ac:dyDescent="0.25">
      <c r="A16" s="160" t="s">
        <v>233</v>
      </c>
      <c r="B16" s="160">
        <v>13</v>
      </c>
      <c r="C16" s="160">
        <f>Summary!AO65</f>
        <v>8.2028088857790449E-2</v>
      </c>
      <c r="D16" s="160">
        <f>Summary!AP65</f>
        <v>1.9264273402433627E-2</v>
      </c>
      <c r="E16" s="160">
        <f t="shared" si="0"/>
        <v>6.2763815455356822E-2</v>
      </c>
      <c r="F16" s="160">
        <f>Summary!AO86</f>
        <v>7.8714874679294389E-2</v>
      </c>
      <c r="G16" s="160">
        <f>Summary!AP86</f>
        <v>1.769011236093742E-2</v>
      </c>
      <c r="H16" s="160">
        <f t="shared" si="1"/>
        <v>6.1024762318356969E-2</v>
      </c>
      <c r="I16" s="258">
        <f t="shared" si="2"/>
        <v>6.1894288886856899E-2</v>
      </c>
    </row>
    <row r="17" spans="1:9" x14ac:dyDescent="0.25">
      <c r="A17" s="160" t="s">
        <v>233</v>
      </c>
      <c r="B17" s="160">
        <v>14</v>
      </c>
      <c r="C17" s="160">
        <f>Summary!AO66</f>
        <v>8.229698882667083E-2</v>
      </c>
      <c r="D17" s="160">
        <f>Summary!AP66</f>
        <v>1.9392032077927147E-2</v>
      </c>
      <c r="E17" s="160">
        <f t="shared" si="0"/>
        <v>6.290495674874369E-2</v>
      </c>
      <c r="F17" s="160">
        <f>Summary!AO87</f>
        <v>7.8842436356716186E-2</v>
      </c>
      <c r="G17" s="160">
        <f>Summary!AP87</f>
        <v>1.7750718953861162E-2</v>
      </c>
      <c r="H17" s="160">
        <f t="shared" si="1"/>
        <v>6.1091717402855024E-2</v>
      </c>
      <c r="I17" s="258">
        <f t="shared" si="2"/>
        <v>6.1998337075799353E-2</v>
      </c>
    </row>
    <row r="18" spans="1:9" x14ac:dyDescent="0.25">
      <c r="A18" s="160" t="s">
        <v>233</v>
      </c>
      <c r="B18" s="160">
        <v>15</v>
      </c>
      <c r="C18" s="160">
        <f>Summary!AO67</f>
        <v>8.3871218370244818E-2</v>
      </c>
      <c r="D18" s="160">
        <f>Summary!AP67</f>
        <v>2.0139973709334569E-2</v>
      </c>
      <c r="E18" s="160">
        <f t="shared" si="0"/>
        <v>6.373124466091025E-2</v>
      </c>
      <c r="F18" s="160">
        <f>Summary!AO88</f>
        <v>7.9524360215036435E-2</v>
      </c>
      <c r="G18" s="160">
        <f>Summary!AP88</f>
        <v>1.8074711884351939E-2</v>
      </c>
      <c r="H18" s="160">
        <f t="shared" si="1"/>
        <v>6.1449648330684496E-2</v>
      </c>
      <c r="I18" s="258">
        <f t="shared" si="2"/>
        <v>6.2590446495797369E-2</v>
      </c>
    </row>
    <row r="19" spans="1:9" x14ac:dyDescent="0.25">
      <c r="A19" s="160" t="s">
        <v>233</v>
      </c>
      <c r="B19" s="160">
        <v>16</v>
      </c>
      <c r="C19" s="160">
        <f>Summary!AO68</f>
        <v>8.0272751220600694E-2</v>
      </c>
      <c r="D19" s="160">
        <f>Summary!AP68</f>
        <v>1.8430284419448415E-2</v>
      </c>
      <c r="E19" s="160">
        <f t="shared" si="0"/>
        <v>6.1842466801152282E-2</v>
      </c>
      <c r="F19" s="160">
        <f>Summary!AO89</f>
        <v>7.774663578032584E-2</v>
      </c>
      <c r="G19" s="160">
        <f>Summary!AP89</f>
        <v>1.7230086575852399E-2</v>
      </c>
      <c r="H19" s="160">
        <f t="shared" si="1"/>
        <v>6.0516549204473441E-2</v>
      </c>
      <c r="I19" s="258">
        <f t="shared" si="2"/>
        <v>6.1179508002812862E-2</v>
      </c>
    </row>
    <row r="20" spans="1:9" x14ac:dyDescent="0.25">
      <c r="A20" s="257" t="s">
        <v>234</v>
      </c>
      <c r="B20" s="257">
        <v>1</v>
      </c>
      <c r="C20" s="257">
        <f>Summary!AW53</f>
        <v>4.9104270399696739E-2</v>
      </c>
      <c r="D20" s="257">
        <f>Summary!AX53</f>
        <v>1.7833154170201967E-2</v>
      </c>
      <c r="E20" s="257">
        <f t="shared" si="0"/>
        <v>3.1271116229494772E-2</v>
      </c>
      <c r="F20" s="257">
        <f>Summary!AW74</f>
        <v>4.7773958164354272E-2</v>
      </c>
      <c r="G20" s="257">
        <f>Summary!AX74</f>
        <v>1.6811870988286879E-2</v>
      </c>
      <c r="H20" s="257">
        <f t="shared" si="1"/>
        <v>3.0962087176067393E-2</v>
      </c>
      <c r="I20" s="259">
        <f t="shared" si="2"/>
        <v>3.1116601702781084E-2</v>
      </c>
    </row>
    <row r="21" spans="1:9" x14ac:dyDescent="0.25">
      <c r="A21" s="257" t="s">
        <v>234</v>
      </c>
      <c r="B21" s="257">
        <v>2</v>
      </c>
      <c r="C21" s="257">
        <f>Summary!AW54</f>
        <v>5.0585846559282832E-2</v>
      </c>
      <c r="D21" s="257">
        <f>Summary!AX54</f>
        <v>1.8970562948617133E-2</v>
      </c>
      <c r="E21" s="257">
        <f t="shared" si="0"/>
        <v>3.16152836106657E-2</v>
      </c>
      <c r="F21" s="257">
        <f>Summary!AW75</f>
        <v>4.8725280880178995E-2</v>
      </c>
      <c r="G21" s="257">
        <f>Summary!AX75</f>
        <v>1.7542203209876546E-2</v>
      </c>
      <c r="H21" s="257">
        <f t="shared" si="1"/>
        <v>3.1183077670302449E-2</v>
      </c>
      <c r="I21" s="259">
        <f t="shared" si="2"/>
        <v>3.1399180640484074E-2</v>
      </c>
    </row>
    <row r="22" spans="1:9" x14ac:dyDescent="0.25">
      <c r="A22" s="257" t="s">
        <v>234</v>
      </c>
      <c r="B22" s="257">
        <v>3</v>
      </c>
      <c r="C22" s="257">
        <f>Summary!AW55</f>
        <v>5.0118789801561668E-2</v>
      </c>
      <c r="D22" s="257">
        <f>Summary!AX55</f>
        <v>1.8612002605422499E-2</v>
      </c>
      <c r="E22" s="257">
        <f t="shared" si="0"/>
        <v>3.1506787196139169E-2</v>
      </c>
      <c r="F22" s="257">
        <f>Summary!AW76</f>
        <v>4.8464056063686131E-2</v>
      </c>
      <c r="G22" s="257">
        <f>Summary!AX76</f>
        <v>1.7341660431500656E-2</v>
      </c>
      <c r="H22" s="257">
        <f t="shared" si="1"/>
        <v>3.1122395632185475E-2</v>
      </c>
      <c r="I22" s="259">
        <f t="shared" si="2"/>
        <v>3.1314591414162318E-2</v>
      </c>
    </row>
    <row r="23" spans="1:9" x14ac:dyDescent="0.25">
      <c r="A23" s="257" t="s">
        <v>234</v>
      </c>
      <c r="B23" s="257">
        <v>4</v>
      </c>
      <c r="C23" s="257">
        <f>Summary!AW56</f>
        <v>5.0057724070494719E-2</v>
      </c>
      <c r="D23" s="257">
        <f>Summary!AX56</f>
        <v>1.8565122329895326E-2</v>
      </c>
      <c r="E23" s="257">
        <f t="shared" si="0"/>
        <v>3.1492601740599396E-2</v>
      </c>
      <c r="F23" s="257">
        <f>Summary!AW77</f>
        <v>4.8427449321972883E-2</v>
      </c>
      <c r="G23" s="257">
        <f>Summary!AX77</f>
        <v>1.7313557367676074E-2</v>
      </c>
      <c r="H23" s="257">
        <f t="shared" si="1"/>
        <v>3.1113891954296809E-2</v>
      </c>
      <c r="I23" s="259">
        <f t="shared" si="2"/>
        <v>3.1303246847448105E-2</v>
      </c>
    </row>
    <row r="24" spans="1:9" x14ac:dyDescent="0.25">
      <c r="A24" s="257" t="s">
        <v>234</v>
      </c>
      <c r="B24" s="257">
        <v>5</v>
      </c>
      <c r="C24" s="257">
        <f>Summary!AW57</f>
        <v>4.9770926265100053E-2</v>
      </c>
      <c r="D24" s="257">
        <f>Summary!AX57</f>
        <v>1.8344947120287992E-2</v>
      </c>
      <c r="E24" s="257">
        <f t="shared" si="0"/>
        <v>3.1425979144812058E-2</v>
      </c>
      <c r="F24" s="257">
        <f>Summary!AW78</f>
        <v>4.824719755336386E-2</v>
      </c>
      <c r="G24" s="257">
        <f>Summary!AX78</f>
        <v>1.7175177749042071E-2</v>
      </c>
      <c r="H24" s="257">
        <f t="shared" si="1"/>
        <v>3.1072019804321789E-2</v>
      </c>
      <c r="I24" s="259">
        <f t="shared" si="2"/>
        <v>3.1248999474566923E-2</v>
      </c>
    </row>
    <row r="25" spans="1:9" x14ac:dyDescent="0.25">
      <c r="A25" s="257" t="s">
        <v>234</v>
      </c>
      <c r="B25" s="257">
        <v>6</v>
      </c>
      <c r="C25" s="257">
        <f>Summary!AW58</f>
        <v>4.9939409765998852E-2</v>
      </c>
      <c r="D25" s="257">
        <f>Summary!AX58</f>
        <v>1.8474292217872407E-2</v>
      </c>
      <c r="E25" s="257">
        <f t="shared" si="0"/>
        <v>3.1465117548126448E-2</v>
      </c>
      <c r="F25" s="257">
        <f>Summary!AW79</f>
        <v>4.8354777451583335E-2</v>
      </c>
      <c r="G25" s="257">
        <f>Summary!AX79</f>
        <v>1.7257767037364598E-2</v>
      </c>
      <c r="H25" s="257">
        <f t="shared" si="1"/>
        <v>3.1097010414218737E-2</v>
      </c>
      <c r="I25" s="259">
        <f t="shared" si="2"/>
        <v>3.1281063981172592E-2</v>
      </c>
    </row>
    <row r="26" spans="1:9" x14ac:dyDescent="0.25">
      <c r="A26" s="257" t="s">
        <v>234</v>
      </c>
      <c r="B26" s="257">
        <v>7</v>
      </c>
      <c r="C26" s="257">
        <f>Summary!AW59</f>
        <v>4.9770926265100053E-2</v>
      </c>
      <c r="D26" s="257">
        <f>Summary!AX59</f>
        <v>1.8344947120287992E-2</v>
      </c>
      <c r="E26" s="257">
        <f t="shared" si="0"/>
        <v>3.1425979144812058E-2</v>
      </c>
      <c r="F26" s="257">
        <f>Summary!AW80</f>
        <v>4.824719755336386E-2</v>
      </c>
      <c r="G26" s="257">
        <f>Summary!AX80</f>
        <v>1.7175177749042071E-2</v>
      </c>
      <c r="H26" s="257">
        <f t="shared" si="1"/>
        <v>3.1072019804321789E-2</v>
      </c>
      <c r="I26" s="259">
        <f t="shared" si="2"/>
        <v>3.1248999474566923E-2</v>
      </c>
    </row>
    <row r="27" spans="1:9" x14ac:dyDescent="0.25">
      <c r="A27" s="257" t="s">
        <v>234</v>
      </c>
      <c r="B27" s="257">
        <v>8</v>
      </c>
      <c r="C27" s="257">
        <f>Summary!AW60</f>
        <v>5.0118789801561668E-2</v>
      </c>
      <c r="D27" s="257">
        <f>Summary!AX60</f>
        <v>1.8612002605422499E-2</v>
      </c>
      <c r="E27" s="257">
        <f t="shared" si="0"/>
        <v>3.1506787196139169E-2</v>
      </c>
      <c r="F27" s="257">
        <f>Summary!AW81</f>
        <v>4.864973372501874E-2</v>
      </c>
      <c r="G27" s="257">
        <f>Summary!AX81</f>
        <v>1.7484205518088922E-2</v>
      </c>
      <c r="H27" s="257">
        <f t="shared" si="1"/>
        <v>3.1165528206929818E-2</v>
      </c>
      <c r="I27" s="259">
        <f t="shared" si="2"/>
        <v>3.1336157701534494E-2</v>
      </c>
    </row>
    <row r="28" spans="1:9" x14ac:dyDescent="0.25">
      <c r="A28" s="257" t="s">
        <v>234</v>
      </c>
      <c r="B28" s="257">
        <v>9</v>
      </c>
      <c r="C28" s="257">
        <f>Summary!AW61</f>
        <v>5.0585846559282832E-2</v>
      </c>
      <c r="D28" s="257">
        <f>Summary!AX61</f>
        <v>1.8970562948617133E-2</v>
      </c>
      <c r="E28" s="257">
        <f t="shared" si="0"/>
        <v>3.16152836106657E-2</v>
      </c>
      <c r="F28" s="257">
        <f>Summary!AW82</f>
        <v>4.8725280880178995E-2</v>
      </c>
      <c r="G28" s="257">
        <f>Summary!AX82</f>
        <v>1.7542203209876546E-2</v>
      </c>
      <c r="H28" s="257">
        <f t="shared" si="1"/>
        <v>3.1183077670302449E-2</v>
      </c>
      <c r="I28" s="259">
        <f t="shared" si="2"/>
        <v>3.1399180640484074E-2</v>
      </c>
    </row>
    <row r="29" spans="1:9" x14ac:dyDescent="0.25">
      <c r="A29" s="257" t="s">
        <v>234</v>
      </c>
      <c r="B29" s="257">
        <v>10</v>
      </c>
      <c r="C29" s="257">
        <f>Summary!AW62</f>
        <v>5.0888225774173651E-2</v>
      </c>
      <c r="D29" s="257">
        <f>Summary!AX62</f>
        <v>1.9202700035328344E-2</v>
      </c>
      <c r="E29" s="257">
        <f t="shared" si="0"/>
        <v>3.168552573884531E-2</v>
      </c>
      <c r="F29" s="257">
        <f>Summary!AW83</f>
        <v>4.8878918472949319E-2</v>
      </c>
      <c r="G29" s="257">
        <f>Summary!AX83</f>
        <v>1.7660151076127548E-2</v>
      </c>
      <c r="H29" s="257">
        <f t="shared" si="1"/>
        <v>3.1218767396821771E-2</v>
      </c>
      <c r="I29" s="259">
        <f t="shared" si="2"/>
        <v>3.1452146567833544E-2</v>
      </c>
    </row>
    <row r="30" spans="1:9" x14ac:dyDescent="0.25">
      <c r="A30" s="257" t="s">
        <v>234</v>
      </c>
      <c r="B30" s="257">
        <v>11</v>
      </c>
      <c r="C30" s="257">
        <f>Summary!AW63</f>
        <v>5.1221209669810412E-2</v>
      </c>
      <c r="D30" s="257">
        <f>Summary!AX63</f>
        <v>1.9458332392475568E-2</v>
      </c>
      <c r="E30" s="257">
        <f t="shared" si="0"/>
        <v>3.1762877277334844E-2</v>
      </c>
      <c r="F30" s="257">
        <f>Summary!AW84</f>
        <v>4.903686480663097E-2</v>
      </c>
      <c r="G30" s="257">
        <f>Summary!AX84</f>
        <v>1.7781406770804892E-2</v>
      </c>
      <c r="H30" s="257">
        <f t="shared" si="1"/>
        <v>3.1255458035826078E-2</v>
      </c>
      <c r="I30" s="259">
        <f t="shared" si="2"/>
        <v>3.1509167656580461E-2</v>
      </c>
    </row>
    <row r="31" spans="1:9" x14ac:dyDescent="0.25">
      <c r="A31" s="257" t="s">
        <v>234</v>
      </c>
      <c r="B31" s="257">
        <v>12</v>
      </c>
      <c r="C31" s="257">
        <f>Summary!AW64</f>
        <v>5.0888225774173651E-2</v>
      </c>
      <c r="D31" s="257">
        <f>Summary!AX64</f>
        <v>1.9202700035328344E-2</v>
      </c>
      <c r="E31" s="257">
        <f t="shared" si="0"/>
        <v>3.168552573884531E-2</v>
      </c>
      <c r="F31" s="257">
        <f>Summary!AW85</f>
        <v>4.8878918472949319E-2</v>
      </c>
      <c r="G31" s="257">
        <f>Summary!AX85</f>
        <v>1.7660151076127548E-2</v>
      </c>
      <c r="H31" s="257">
        <f t="shared" si="1"/>
        <v>3.1218767396821771E-2</v>
      </c>
      <c r="I31" s="259">
        <f t="shared" si="2"/>
        <v>3.1452146567833544E-2</v>
      </c>
    </row>
    <row r="32" spans="1:9" x14ac:dyDescent="0.25">
      <c r="A32" s="257" t="s">
        <v>234</v>
      </c>
      <c r="B32" s="257">
        <v>13</v>
      </c>
      <c r="C32" s="257">
        <f>Summary!AW65</f>
        <v>5.096843056465869E-2</v>
      </c>
      <c r="D32" s="257">
        <f>Summary!AX65</f>
        <v>1.9264273402433627E-2</v>
      </c>
      <c r="E32" s="257">
        <f t="shared" si="0"/>
        <v>3.1704157162225063E-2</v>
      </c>
      <c r="F32" s="257">
        <f>Summary!AW86</f>
        <v>4.8917945712871558E-2</v>
      </c>
      <c r="G32" s="257">
        <f>Summary!AX86</f>
        <v>1.769011236093742E-2</v>
      </c>
      <c r="H32" s="257">
        <f t="shared" si="1"/>
        <v>3.1227833351934138E-2</v>
      </c>
      <c r="I32" s="259">
        <f t="shared" si="2"/>
        <v>3.1465995257079604E-2</v>
      </c>
    </row>
    <row r="33" spans="1:9" x14ac:dyDescent="0.25">
      <c r="A33" s="257" t="s">
        <v>234</v>
      </c>
      <c r="B33" s="257">
        <v>14</v>
      </c>
      <c r="C33" s="257">
        <f>Summary!AW66</f>
        <v>5.1134847609597661E-2</v>
      </c>
      <c r="D33" s="257">
        <f>Summary!AX66</f>
        <v>1.9392032077927147E-2</v>
      </c>
      <c r="E33" s="257">
        <f t="shared" si="0"/>
        <v>3.1742815531670514E-2</v>
      </c>
      <c r="F33" s="257">
        <f>Summary!AW87</f>
        <v>4.8996891193945367E-2</v>
      </c>
      <c r="G33" s="257">
        <f>Summary!AX87</f>
        <v>1.7750718953861162E-2</v>
      </c>
      <c r="H33" s="257">
        <f t="shared" si="1"/>
        <v>3.1246172240084205E-2</v>
      </c>
      <c r="I33" s="259">
        <f t="shared" si="2"/>
        <v>3.1494493885877356E-2</v>
      </c>
    </row>
    <row r="34" spans="1:9" x14ac:dyDescent="0.25">
      <c r="A34" s="257" t="s">
        <v>234</v>
      </c>
      <c r="B34" s="257">
        <v>15</v>
      </c>
      <c r="C34" s="257">
        <f>Summary!AW67</f>
        <v>5.2109108148890498E-2</v>
      </c>
      <c r="D34" s="257">
        <f>Summary!AX67</f>
        <v>2.0139973709334569E-2</v>
      </c>
      <c r="E34" s="257">
        <f t="shared" si="0"/>
        <v>3.196913443955593E-2</v>
      </c>
      <c r="F34" s="257">
        <f>Summary!AW88</f>
        <v>4.9418920820231894E-2</v>
      </c>
      <c r="G34" s="257">
        <f>Summary!AX88</f>
        <v>1.8074711884351939E-2</v>
      </c>
      <c r="H34" s="257">
        <f t="shared" si="1"/>
        <v>3.1344208935879955E-2</v>
      </c>
      <c r="I34" s="259">
        <f t="shared" si="2"/>
        <v>3.1656671687717942E-2</v>
      </c>
    </row>
    <row r="35" spans="1:9" x14ac:dyDescent="0.25">
      <c r="A35" s="257" t="s">
        <v>234</v>
      </c>
      <c r="B35" s="257">
        <v>16</v>
      </c>
      <c r="C35" s="257">
        <f>Summary!AW68</f>
        <v>4.9882085691999964E-2</v>
      </c>
      <c r="D35" s="257">
        <f>Summary!AX68</f>
        <v>1.8430284419448415E-2</v>
      </c>
      <c r="E35" s="257">
        <f t="shared" si="0"/>
        <v>3.1451801272551552E-2</v>
      </c>
      <c r="F35" s="257">
        <f>Summary!AW89</f>
        <v>4.8318721186992201E-2</v>
      </c>
      <c r="G35" s="257">
        <f>Summary!AX89</f>
        <v>1.7230086575852399E-2</v>
      </c>
      <c r="H35" s="257">
        <f t="shared" si="1"/>
        <v>3.1088634611139802E-2</v>
      </c>
      <c r="I35" s="259">
        <f t="shared" si="2"/>
        <v>3.1270217941845674E-2</v>
      </c>
    </row>
    <row r="36" spans="1:9" x14ac:dyDescent="0.25">
      <c r="A36" s="160" t="s">
        <v>252</v>
      </c>
      <c r="B36" s="160">
        <v>1</v>
      </c>
      <c r="C36" s="160">
        <f>Summary!BE53</f>
        <v>6.4693191860118002E-2</v>
      </c>
      <c r="D36" s="160">
        <f>Summary!BF53</f>
        <v>7.887371315839057E-3</v>
      </c>
      <c r="E36" s="160">
        <f t="shared" si="0"/>
        <v>5.6805820544278948E-2</v>
      </c>
      <c r="F36" s="160">
        <f>Summary!BE74</f>
        <v>6.1396331102964934E-2</v>
      </c>
      <c r="G36" s="160">
        <f>Summary!BF74</f>
        <v>7.4356710951430649E-3</v>
      </c>
      <c r="H36" s="160">
        <f t="shared" si="1"/>
        <v>5.3960660007821869E-2</v>
      </c>
      <c r="I36" s="258">
        <f t="shared" si="2"/>
        <v>5.5383240276050405E-2</v>
      </c>
    </row>
    <row r="37" spans="1:9" x14ac:dyDescent="0.25">
      <c r="A37" s="160" t="s">
        <v>252</v>
      </c>
      <c r="B37" s="160">
        <v>2</v>
      </c>
      <c r="C37" s="160">
        <f>Summary!BE54</f>
        <v>6.8364924081700945E-2</v>
      </c>
      <c r="D37" s="160">
        <f>Summary!BF54</f>
        <v>8.3904323720960343E-3</v>
      </c>
      <c r="E37" s="160">
        <f t="shared" si="0"/>
        <v>5.9974491709604907E-2</v>
      </c>
      <c r="F37" s="160">
        <f>Summary!BE75</f>
        <v>6.3753956963921873E-2</v>
      </c>
      <c r="G37" s="160">
        <f>Summary!BF75</f>
        <v>7.7586875038288938E-3</v>
      </c>
      <c r="H37" s="160">
        <f t="shared" si="1"/>
        <v>5.5995269460092978E-2</v>
      </c>
      <c r="I37" s="258">
        <f t="shared" si="2"/>
        <v>5.7984880584848943E-2</v>
      </c>
    </row>
    <row r="38" spans="1:9" x14ac:dyDescent="0.25">
      <c r="A38" s="160" t="s">
        <v>252</v>
      </c>
      <c r="B38" s="160">
        <v>3</v>
      </c>
      <c r="C38" s="160">
        <f>Summary!BE55</f>
        <v>6.7207435595174572E-2</v>
      </c>
      <c r="D38" s="160">
        <f>Summary!BF55</f>
        <v>8.231845812538538E-3</v>
      </c>
      <c r="E38" s="160">
        <f t="shared" si="0"/>
        <v>5.8975589782636034E-2</v>
      </c>
      <c r="F38" s="160">
        <f>Summary!BE76</f>
        <v>6.3106573723048232E-2</v>
      </c>
      <c r="G38" s="160">
        <f>Summary!BF76</f>
        <v>7.6699900506097827E-3</v>
      </c>
      <c r="H38" s="160">
        <f t="shared" si="1"/>
        <v>5.543658367243845E-2</v>
      </c>
      <c r="I38" s="258">
        <f t="shared" si="2"/>
        <v>5.7206086727537242E-2</v>
      </c>
    </row>
    <row r="39" spans="1:9" x14ac:dyDescent="0.25">
      <c r="A39" s="160" t="s">
        <v>252</v>
      </c>
      <c r="B39" s="160">
        <v>4</v>
      </c>
      <c r="C39" s="160">
        <f>Summary!BE56</f>
        <v>6.7056098783399964E-2</v>
      </c>
      <c r="D39" s="160">
        <f>Summary!BF56</f>
        <v>8.2111112785944809E-3</v>
      </c>
      <c r="E39" s="160">
        <f t="shared" si="0"/>
        <v>5.8844987504805484E-2</v>
      </c>
      <c r="F39" s="160">
        <f>Summary!BE77</f>
        <v>6.3015852667498012E-2</v>
      </c>
      <c r="G39" s="160">
        <f>Summary!BF77</f>
        <v>7.6575604323054916E-3</v>
      </c>
      <c r="H39" s="160">
        <f t="shared" si="1"/>
        <v>5.5358292235192522E-2</v>
      </c>
      <c r="I39" s="258">
        <f t="shared" si="2"/>
        <v>5.7101639869998999E-2</v>
      </c>
    </row>
    <row r="40" spans="1:9" x14ac:dyDescent="0.25">
      <c r="A40" s="160" t="s">
        <v>252</v>
      </c>
      <c r="B40" s="160">
        <v>5</v>
      </c>
      <c r="C40" s="160">
        <f>Summary!BE57</f>
        <v>6.6345339004813181E-2</v>
      </c>
      <c r="D40" s="160">
        <f>Summary!BF57</f>
        <v>8.1137306573010534E-3</v>
      </c>
      <c r="E40" s="160">
        <f t="shared" si="0"/>
        <v>5.8231608347512127E-2</v>
      </c>
      <c r="F40" s="160">
        <f>Summary!BE78</f>
        <v>6.2569141762684355E-2</v>
      </c>
      <c r="G40" s="160">
        <f>Summary!BF78</f>
        <v>7.5963569332332783E-3</v>
      </c>
      <c r="H40" s="160">
        <f t="shared" si="1"/>
        <v>5.4972784829451074E-2</v>
      </c>
      <c r="I40" s="258">
        <f t="shared" si="2"/>
        <v>5.6602196588481604E-2</v>
      </c>
    </row>
    <row r="41" spans="1:9" x14ac:dyDescent="0.25">
      <c r="A41" s="160" t="s">
        <v>252</v>
      </c>
      <c r="B41" s="160">
        <v>6</v>
      </c>
      <c r="C41" s="160">
        <f>Summary!BE58</f>
        <v>6.6762885072258027E-2</v>
      </c>
      <c r="D41" s="160">
        <f>Summary!BF58</f>
        <v>8.1709383056393602E-3</v>
      </c>
      <c r="E41" s="160">
        <f t="shared" si="0"/>
        <v>5.8591946766618663E-2</v>
      </c>
      <c r="F41" s="160">
        <f>Summary!BE79</f>
        <v>6.2835752814793491E-2</v>
      </c>
      <c r="G41" s="160">
        <f>Summary!BF79</f>
        <v>7.6328850974320224E-3</v>
      </c>
      <c r="H41" s="160">
        <f t="shared" si="1"/>
        <v>5.5202867717361472E-2</v>
      </c>
      <c r="I41" s="258">
        <f t="shared" si="2"/>
        <v>5.6897407241990064E-2</v>
      </c>
    </row>
    <row r="42" spans="1:9" x14ac:dyDescent="0.25">
      <c r="A42" s="160" t="s">
        <v>252</v>
      </c>
      <c r="B42" s="160">
        <v>7</v>
      </c>
      <c r="C42" s="160">
        <f>Summary!BE59</f>
        <v>6.6345339004813181E-2</v>
      </c>
      <c r="D42" s="160">
        <f>Summary!BF59</f>
        <v>8.1137306573010534E-3</v>
      </c>
      <c r="E42" s="160">
        <f t="shared" si="0"/>
        <v>5.8231608347512127E-2</v>
      </c>
      <c r="F42" s="160">
        <f>Summary!BE80</f>
        <v>6.2569141762684355E-2</v>
      </c>
      <c r="G42" s="160">
        <f>Summary!BF80</f>
        <v>7.5963569332332783E-3</v>
      </c>
      <c r="H42" s="160">
        <f t="shared" si="1"/>
        <v>5.4972784829451074E-2</v>
      </c>
      <c r="I42" s="258">
        <f t="shared" si="2"/>
        <v>5.6602196588481604E-2</v>
      </c>
    </row>
    <row r="43" spans="1:9" x14ac:dyDescent="0.25">
      <c r="A43" s="160" t="s">
        <v>252</v>
      </c>
      <c r="B43" s="160">
        <v>8</v>
      </c>
      <c r="C43" s="160">
        <f>Summary!BE60</f>
        <v>6.7207435595174572E-2</v>
      </c>
      <c r="D43" s="160">
        <f>Summary!BF60</f>
        <v>8.231845812538538E-3</v>
      </c>
      <c r="E43" s="160">
        <f t="shared" si="0"/>
        <v>5.8975589782636034E-2</v>
      </c>
      <c r="F43" s="160">
        <f>Summary!BE81</f>
        <v>6.3566731405481233E-2</v>
      </c>
      <c r="G43" s="160">
        <f>Summary!BF81</f>
        <v>7.7330358817869023E-3</v>
      </c>
      <c r="H43" s="160">
        <f t="shared" si="1"/>
        <v>5.5833695523694334E-2</v>
      </c>
      <c r="I43" s="258">
        <f t="shared" si="2"/>
        <v>5.740464265316518E-2</v>
      </c>
    </row>
    <row r="44" spans="1:9" x14ac:dyDescent="0.25">
      <c r="A44" s="160" t="s">
        <v>252</v>
      </c>
      <c r="B44" s="160">
        <v>9</v>
      </c>
      <c r="C44" s="160">
        <f>Summary!BE61</f>
        <v>6.8364924081700945E-2</v>
      </c>
      <c r="D44" s="160">
        <f>Summary!BF61</f>
        <v>8.3904323720960343E-3</v>
      </c>
      <c r="E44" s="160">
        <f t="shared" si="0"/>
        <v>5.9974491709604907E-2</v>
      </c>
      <c r="F44" s="160">
        <f>Summary!BE82</f>
        <v>6.3753956963921873E-2</v>
      </c>
      <c r="G44" s="160">
        <f>Summary!BF82</f>
        <v>7.7586875038288938E-3</v>
      </c>
      <c r="H44" s="160">
        <f t="shared" si="1"/>
        <v>5.5995269460092978E-2</v>
      </c>
      <c r="I44" s="258">
        <f t="shared" si="2"/>
        <v>5.7984880584848943E-2</v>
      </c>
    </row>
    <row r="45" spans="1:9" x14ac:dyDescent="0.25">
      <c r="A45" s="160" t="s">
        <v>252</v>
      </c>
      <c r="B45" s="160">
        <v>10</v>
      </c>
      <c r="C45" s="160">
        <f>Summary!BE62</f>
        <v>6.9114298657734705E-2</v>
      </c>
      <c r="D45" s="160">
        <f>Summary!BF62</f>
        <v>8.4931035754958143E-3</v>
      </c>
      <c r="E45" s="160">
        <f t="shared" si="0"/>
        <v>6.0621195082238892E-2</v>
      </c>
      <c r="F45" s="160">
        <f>Summary!BE83</f>
        <v>6.4134710998178746E-2</v>
      </c>
      <c r="G45" s="160">
        <f>Summary!BF83</f>
        <v>7.8108543055148815E-3</v>
      </c>
      <c r="H45" s="160">
        <f t="shared" si="1"/>
        <v>5.6323856692663862E-2</v>
      </c>
      <c r="I45" s="258">
        <f t="shared" si="2"/>
        <v>5.8472525887451374E-2</v>
      </c>
    </row>
    <row r="46" spans="1:9" x14ac:dyDescent="0.25">
      <c r="A46" s="160" t="s">
        <v>252</v>
      </c>
      <c r="B46" s="160">
        <v>11</v>
      </c>
      <c r="C46" s="160">
        <f>Summary!BE63</f>
        <v>6.9939519616486673E-2</v>
      </c>
      <c r="D46" s="160">
        <f>Summary!BF63</f>
        <v>8.606166430329E-3</v>
      </c>
      <c r="E46" s="160">
        <f t="shared" si="0"/>
        <v>6.1333353186157673E-2</v>
      </c>
      <c r="F46" s="160">
        <f>Summary!BE84</f>
        <v>6.4526143216433282E-2</v>
      </c>
      <c r="G46" s="160">
        <f>Summary!BF84</f>
        <v>7.864484116537224E-3</v>
      </c>
      <c r="H46" s="160">
        <f t="shared" si="1"/>
        <v>5.666165909989606E-2</v>
      </c>
      <c r="I46" s="258">
        <f t="shared" si="2"/>
        <v>5.8997506143026866E-2</v>
      </c>
    </row>
    <row r="47" spans="1:9" x14ac:dyDescent="0.25">
      <c r="A47" s="160" t="s">
        <v>252</v>
      </c>
      <c r="B47" s="160">
        <v>12</v>
      </c>
      <c r="C47" s="160">
        <f>Summary!BE64</f>
        <v>6.9114298657734705E-2</v>
      </c>
      <c r="D47" s="160">
        <f>Summary!BF64</f>
        <v>8.4931035754958143E-3</v>
      </c>
      <c r="E47" s="160">
        <f t="shared" si="0"/>
        <v>6.0621195082238892E-2</v>
      </c>
      <c r="F47" s="160">
        <f>Summary!BE85</f>
        <v>6.4134710998178746E-2</v>
      </c>
      <c r="G47" s="160">
        <f>Summary!BF85</f>
        <v>7.8108543055148815E-3</v>
      </c>
      <c r="H47" s="160">
        <f t="shared" si="1"/>
        <v>5.6323856692663862E-2</v>
      </c>
      <c r="I47" s="258">
        <f t="shared" si="2"/>
        <v>5.8472525887451374E-2</v>
      </c>
    </row>
    <row r="48" spans="1:9" x14ac:dyDescent="0.25">
      <c r="A48" s="160" t="s">
        <v>252</v>
      </c>
      <c r="B48" s="160">
        <v>13</v>
      </c>
      <c r="C48" s="160">
        <f>Summary!BE65</f>
        <v>6.9313067051545441E-2</v>
      </c>
      <c r="D48" s="160">
        <f>Summary!BF65</f>
        <v>8.520336672058022E-3</v>
      </c>
      <c r="E48" s="160">
        <f t="shared" si="0"/>
        <v>6.0792730379487417E-2</v>
      </c>
      <c r="F48" s="160">
        <f>Summary!BE86</f>
        <v>6.4231430679725171E-2</v>
      </c>
      <c r="G48" s="160">
        <f>Summary!BF86</f>
        <v>7.8241057907058702E-3</v>
      </c>
      <c r="H48" s="160">
        <f t="shared" si="1"/>
        <v>5.6407324889019297E-2</v>
      </c>
      <c r="I48" s="258">
        <f t="shared" si="2"/>
        <v>5.8600027634253357E-2</v>
      </c>
    </row>
    <row r="49" spans="1:9" x14ac:dyDescent="0.25">
      <c r="A49" s="160" t="s">
        <v>252</v>
      </c>
      <c r="B49" s="160">
        <v>14</v>
      </c>
      <c r="C49" s="160">
        <f>Summary!BE66</f>
        <v>6.9725491902046383E-2</v>
      </c>
      <c r="D49" s="160">
        <f>Summary!BF66</f>
        <v>8.5768426666128703E-3</v>
      </c>
      <c r="E49" s="160">
        <f t="shared" si="0"/>
        <v>6.1148649235433512E-2</v>
      </c>
      <c r="F49" s="160">
        <f>Summary!BE87</f>
        <v>6.442707817629939E-2</v>
      </c>
      <c r="G49" s="160">
        <f>Summary!BF87</f>
        <v>7.8509112956667501E-3</v>
      </c>
      <c r="H49" s="160">
        <f t="shared" si="1"/>
        <v>5.657616688063264E-2</v>
      </c>
      <c r="I49" s="258">
        <f t="shared" si="2"/>
        <v>5.8862408058033076E-2</v>
      </c>
    </row>
    <row r="50" spans="1:9" x14ac:dyDescent="0.25">
      <c r="A50" s="160" t="s">
        <v>252</v>
      </c>
      <c r="B50" s="160">
        <v>15</v>
      </c>
      <c r="C50" s="160">
        <f>Summary!BE67</f>
        <v>7.2139963673337318E-2</v>
      </c>
      <c r="D50" s="160">
        <f>Summary!BF67</f>
        <v>8.907647487407952E-3</v>
      </c>
      <c r="E50" s="160">
        <f t="shared" si="0"/>
        <v>6.3232316185929366E-2</v>
      </c>
      <c r="F50" s="160">
        <f>Summary!BE88</f>
        <v>6.5472977684922523E-2</v>
      </c>
      <c r="G50" s="160">
        <f>Summary!BF88</f>
        <v>7.994209139788884E-3</v>
      </c>
      <c r="H50" s="160">
        <f t="shared" si="1"/>
        <v>5.7478768545133639E-2</v>
      </c>
      <c r="I50" s="258">
        <f t="shared" si="2"/>
        <v>6.0355542365531506E-2</v>
      </c>
    </row>
    <row r="51" spans="1:9" x14ac:dyDescent="0.25">
      <c r="A51" s="160" t="s">
        <v>252</v>
      </c>
      <c r="B51" s="160">
        <v>16</v>
      </c>
      <c r="C51" s="160">
        <f>Summary!BE68</f>
        <v>6.6620821062782512E-2</v>
      </c>
      <c r="D51" s="160">
        <f>Summary!BF68</f>
        <v>8.1514742308240028E-3</v>
      </c>
      <c r="E51" s="160">
        <f t="shared" si="0"/>
        <v>5.8469346831958507E-2</v>
      </c>
      <c r="F51" s="160">
        <f>Summary!BE89</f>
        <v>6.2746395985154593E-2</v>
      </c>
      <c r="G51" s="160">
        <f>Summary!BF89</f>
        <v>7.6206423906143295E-3</v>
      </c>
      <c r="H51" s="160">
        <f t="shared" si="1"/>
        <v>5.5125753594540264E-2</v>
      </c>
      <c r="I51" s="258">
        <f t="shared" si="2"/>
        <v>5.6797550213249386E-2</v>
      </c>
    </row>
    <row r="52" spans="1:9" x14ac:dyDescent="0.25">
      <c r="A52" s="257" t="s">
        <v>236</v>
      </c>
      <c r="B52" s="257">
        <v>1</v>
      </c>
      <c r="C52" s="257">
        <f>Summary!BI53</f>
        <v>2.6118017882895396E-2</v>
      </c>
      <c r="D52" s="257">
        <f>Summary!BJ53</f>
        <v>7.887371315839057E-3</v>
      </c>
      <c r="E52" s="257">
        <f t="shared" si="0"/>
        <v>1.8230646567056339E-2</v>
      </c>
      <c r="F52" s="257">
        <f>Summary!BI74</f>
        <v>2.4781814264796413E-2</v>
      </c>
      <c r="G52" s="257">
        <f>Summary!BJ74</f>
        <v>7.4356710951430649E-3</v>
      </c>
      <c r="H52" s="257">
        <f t="shared" si="1"/>
        <v>1.7346143169653348E-2</v>
      </c>
      <c r="I52" s="259">
        <f t="shared" si="2"/>
        <v>1.7788394868354845E-2</v>
      </c>
    </row>
    <row r="53" spans="1:9" x14ac:dyDescent="0.25">
      <c r="A53" s="257" t="s">
        <v>236</v>
      </c>
      <c r="B53" s="257">
        <v>2</v>
      </c>
      <c r="C53" s="257">
        <f>Summary!BI54</f>
        <v>2.760615530833109E-2</v>
      </c>
      <c r="D53" s="257">
        <f>Summary!BJ54</f>
        <v>8.3904323720960343E-3</v>
      </c>
      <c r="E53" s="257">
        <f t="shared" si="0"/>
        <v>1.9215722936235056E-2</v>
      </c>
      <c r="F53" s="257">
        <f>Summary!BI75</f>
        <v>2.5737349981219793E-2</v>
      </c>
      <c r="G53" s="257">
        <f>Summary!BJ75</f>
        <v>7.7586875038288938E-3</v>
      </c>
      <c r="H53" s="257">
        <f t="shared" si="1"/>
        <v>1.7978662477390897E-2</v>
      </c>
      <c r="I53" s="259">
        <f t="shared" si="2"/>
        <v>1.8597192706812975E-2</v>
      </c>
    </row>
    <row r="54" spans="1:9" x14ac:dyDescent="0.25">
      <c r="A54" s="257" t="s">
        <v>236</v>
      </c>
      <c r="B54" s="257">
        <v>3</v>
      </c>
      <c r="C54" s="257">
        <f>Summary!BI55</f>
        <v>2.7137030156397159E-2</v>
      </c>
      <c r="D54" s="257">
        <f>Summary!BJ55</f>
        <v>8.231845812538538E-3</v>
      </c>
      <c r="E54" s="257">
        <f t="shared" si="0"/>
        <v>1.8905184343858621E-2</v>
      </c>
      <c r="F54" s="257">
        <f>Summary!BI76</f>
        <v>2.5474968311968167E-2</v>
      </c>
      <c r="G54" s="257">
        <f>Summary!BJ76</f>
        <v>7.6699900506097827E-3</v>
      </c>
      <c r="H54" s="257">
        <f t="shared" si="1"/>
        <v>1.7804978261358385E-2</v>
      </c>
      <c r="I54" s="259">
        <f t="shared" si="2"/>
        <v>1.8355081302608503E-2</v>
      </c>
    </row>
    <row r="55" spans="1:9" x14ac:dyDescent="0.25">
      <c r="A55" s="257" t="s">
        <v>236</v>
      </c>
      <c r="B55" s="257">
        <v>4</v>
      </c>
      <c r="C55" s="257">
        <f>Summary!BI56</f>
        <v>2.7075693991378338E-2</v>
      </c>
      <c r="D55" s="257">
        <f>Summary!BJ56</f>
        <v>8.2111112785944809E-3</v>
      </c>
      <c r="E55" s="257">
        <f t="shared" si="0"/>
        <v>1.8864582712783858E-2</v>
      </c>
      <c r="F55" s="257">
        <f>Summary!BI77</f>
        <v>2.5438199454684476E-2</v>
      </c>
      <c r="G55" s="257">
        <f>Summary!BJ77</f>
        <v>7.6575604323054916E-3</v>
      </c>
      <c r="H55" s="257">
        <f t="shared" si="1"/>
        <v>1.7780639022378985E-2</v>
      </c>
      <c r="I55" s="259">
        <f t="shared" si="2"/>
        <v>1.8322610867581419E-2</v>
      </c>
    </row>
    <row r="56" spans="1:9" x14ac:dyDescent="0.25">
      <c r="A56" s="257" t="s">
        <v>236</v>
      </c>
      <c r="B56" s="257">
        <v>5</v>
      </c>
      <c r="C56" s="257">
        <f>Summary!BI57</f>
        <v>2.6787626081416927E-2</v>
      </c>
      <c r="D56" s="257">
        <f>Summary!BJ57</f>
        <v>8.1137306573010534E-3</v>
      </c>
      <c r="E56" s="257">
        <f t="shared" si="0"/>
        <v>1.8673895424115874E-2</v>
      </c>
      <c r="F56" s="257">
        <f>Summary!BI78</f>
        <v>2.5257149428243045E-2</v>
      </c>
      <c r="G56" s="257">
        <f>Summary!BJ78</f>
        <v>7.5963569332332783E-3</v>
      </c>
      <c r="H56" s="257">
        <f t="shared" si="1"/>
        <v>1.7660792495009767E-2</v>
      </c>
      <c r="I56" s="259">
        <f t="shared" si="2"/>
        <v>1.8167343959562821E-2</v>
      </c>
    </row>
    <row r="57" spans="1:9" x14ac:dyDescent="0.25">
      <c r="A57" s="257" t="s">
        <v>236</v>
      </c>
      <c r="B57" s="257">
        <v>6</v>
      </c>
      <c r="C57" s="257">
        <f>Summary!BI58</f>
        <v>2.6956855723533985E-2</v>
      </c>
      <c r="D57" s="257">
        <f>Summary!BJ58</f>
        <v>8.1709383056393602E-3</v>
      </c>
      <c r="E57" s="257">
        <f t="shared" si="0"/>
        <v>1.8785917417894624E-2</v>
      </c>
      <c r="F57" s="257">
        <f>Summary!BI79</f>
        <v>2.5365205751726062E-2</v>
      </c>
      <c r="G57" s="257">
        <f>Summary!BJ79</f>
        <v>7.6328850974320224E-3</v>
      </c>
      <c r="H57" s="257">
        <f t="shared" si="1"/>
        <v>1.7732320654294038E-2</v>
      </c>
      <c r="I57" s="259">
        <f t="shared" si="2"/>
        <v>1.8259119036094333E-2</v>
      </c>
    </row>
    <row r="58" spans="1:9" x14ac:dyDescent="0.25">
      <c r="A58" s="257" t="s">
        <v>236</v>
      </c>
      <c r="B58" s="257">
        <v>7</v>
      </c>
      <c r="C58" s="257">
        <f>Summary!BI59</f>
        <v>2.6787626081416927E-2</v>
      </c>
      <c r="D58" s="257">
        <f>Summary!BJ59</f>
        <v>8.1137306573010534E-3</v>
      </c>
      <c r="E58" s="257">
        <f t="shared" si="0"/>
        <v>1.8673895424115874E-2</v>
      </c>
      <c r="F58" s="257">
        <f>Summary!BI80</f>
        <v>2.5257149428243045E-2</v>
      </c>
      <c r="G58" s="257">
        <f>Summary!BJ80</f>
        <v>7.5963569332332783E-3</v>
      </c>
      <c r="H58" s="257">
        <f t="shared" si="1"/>
        <v>1.7660792495009767E-2</v>
      </c>
      <c r="I58" s="259">
        <f t="shared" si="2"/>
        <v>1.8167343959562821E-2</v>
      </c>
    </row>
    <row r="59" spans="1:9" x14ac:dyDescent="0.25">
      <c r="A59" s="257" t="s">
        <v>236</v>
      </c>
      <c r="B59" s="257">
        <v>8</v>
      </c>
      <c r="C59" s="257">
        <f>Summary!BI60</f>
        <v>2.7137030156397159E-2</v>
      </c>
      <c r="D59" s="257">
        <f>Summary!BJ60</f>
        <v>8.231845812538538E-3</v>
      </c>
      <c r="E59" s="257">
        <f t="shared" si="0"/>
        <v>1.8905184343858621E-2</v>
      </c>
      <c r="F59" s="257">
        <f>Summary!BI81</f>
        <v>2.5661468260086685E-2</v>
      </c>
      <c r="G59" s="257">
        <f>Summary!BJ81</f>
        <v>7.7330358817869023E-3</v>
      </c>
      <c r="H59" s="257">
        <f t="shared" si="1"/>
        <v>1.7928432378299781E-2</v>
      </c>
      <c r="I59" s="259">
        <f t="shared" si="2"/>
        <v>1.8416808361079201E-2</v>
      </c>
    </row>
    <row r="60" spans="1:9" x14ac:dyDescent="0.25">
      <c r="A60" s="257" t="s">
        <v>236</v>
      </c>
      <c r="B60" s="257">
        <v>9</v>
      </c>
      <c r="C60" s="257">
        <f>Summary!BI61</f>
        <v>2.760615530833109E-2</v>
      </c>
      <c r="D60" s="257">
        <f>Summary!BJ61</f>
        <v>8.3904323720960343E-3</v>
      </c>
      <c r="E60" s="257">
        <f t="shared" si="0"/>
        <v>1.9215722936235056E-2</v>
      </c>
      <c r="F60" s="257">
        <f>Summary!BI82</f>
        <v>2.5737349981219793E-2</v>
      </c>
      <c r="G60" s="257">
        <f>Summary!BJ82</f>
        <v>7.7586875038288938E-3</v>
      </c>
      <c r="H60" s="257">
        <f t="shared" si="1"/>
        <v>1.7978662477390897E-2</v>
      </c>
      <c r="I60" s="259">
        <f t="shared" si="2"/>
        <v>1.8597192706812975E-2</v>
      </c>
    </row>
    <row r="61" spans="1:9" x14ac:dyDescent="0.25">
      <c r="A61" s="257" t="s">
        <v>236</v>
      </c>
      <c r="B61" s="257">
        <v>10</v>
      </c>
      <c r="C61" s="257">
        <f>Summary!BI62</f>
        <v>2.7909873631173563E-2</v>
      </c>
      <c r="D61" s="257">
        <f>Summary!BJ62</f>
        <v>8.4931035754958143E-3</v>
      </c>
      <c r="E61" s="257">
        <f t="shared" si="0"/>
        <v>1.9416770055677747E-2</v>
      </c>
      <c r="F61" s="257">
        <f>Summary!BI83</f>
        <v>2.5891667969043807E-2</v>
      </c>
      <c r="G61" s="257">
        <f>Summary!BJ83</f>
        <v>7.8108543055148815E-3</v>
      </c>
      <c r="H61" s="257">
        <f t="shared" si="1"/>
        <v>1.8080813663528927E-2</v>
      </c>
      <c r="I61" s="259">
        <f t="shared" si="2"/>
        <v>1.8748791859603337E-2</v>
      </c>
    </row>
    <row r="62" spans="1:9" x14ac:dyDescent="0.25">
      <c r="A62" s="257" t="s">
        <v>236</v>
      </c>
      <c r="B62" s="257">
        <v>11</v>
      </c>
      <c r="C62" s="257">
        <f>Summary!BI63</f>
        <v>2.8244332169776714E-2</v>
      </c>
      <c r="D62" s="257">
        <f>Summary!BJ63</f>
        <v>8.606166430329E-3</v>
      </c>
      <c r="E62" s="257">
        <f t="shared" si="0"/>
        <v>1.9638165739447714E-2</v>
      </c>
      <c r="F62" s="257">
        <f>Summary!BI84</f>
        <v>2.6050313779346052E-2</v>
      </c>
      <c r="G62" s="257">
        <f>Summary!BJ84</f>
        <v>7.864484116537224E-3</v>
      </c>
      <c r="H62" s="257">
        <f t="shared" si="1"/>
        <v>1.8185829662808829E-2</v>
      </c>
      <c r="I62" s="259">
        <f t="shared" si="2"/>
        <v>1.8911997701128273E-2</v>
      </c>
    </row>
    <row r="63" spans="1:9" x14ac:dyDescent="0.25">
      <c r="A63" s="257" t="s">
        <v>236</v>
      </c>
      <c r="B63" s="257">
        <v>12</v>
      </c>
      <c r="C63" s="257">
        <f>Summary!BI64</f>
        <v>2.7909873631173563E-2</v>
      </c>
      <c r="D63" s="257">
        <f>Summary!BJ64</f>
        <v>8.4931035754958143E-3</v>
      </c>
      <c r="E63" s="257">
        <f t="shared" si="0"/>
        <v>1.9416770055677747E-2</v>
      </c>
      <c r="F63" s="257">
        <f>Summary!BI85</f>
        <v>2.5891667969043807E-2</v>
      </c>
      <c r="G63" s="257">
        <f>Summary!BJ85</f>
        <v>7.8108543055148815E-3</v>
      </c>
      <c r="H63" s="257">
        <f t="shared" si="1"/>
        <v>1.8080813663528927E-2</v>
      </c>
      <c r="I63" s="259">
        <f t="shared" si="2"/>
        <v>1.8748791859603337E-2</v>
      </c>
    </row>
    <row r="64" spans="1:9" x14ac:dyDescent="0.25">
      <c r="A64" s="257" t="s">
        <v>236</v>
      </c>
      <c r="B64" s="257">
        <v>13</v>
      </c>
      <c r="C64" s="257">
        <f>Summary!BI65</f>
        <v>2.7990433614302177E-2</v>
      </c>
      <c r="D64" s="257">
        <f>Summary!BJ65</f>
        <v>8.520336672058022E-3</v>
      </c>
      <c r="E64" s="257">
        <f t="shared" si="0"/>
        <v>1.9470096942244157E-2</v>
      </c>
      <c r="F64" s="257">
        <f>Summary!BI86</f>
        <v>2.5930868043885707E-2</v>
      </c>
      <c r="G64" s="257">
        <f>Summary!BJ86</f>
        <v>7.8241057907058702E-3</v>
      </c>
      <c r="H64" s="257">
        <f t="shared" si="1"/>
        <v>1.8106762253179837E-2</v>
      </c>
      <c r="I64" s="259">
        <f t="shared" si="2"/>
        <v>1.8788429597711997E-2</v>
      </c>
    </row>
    <row r="65" spans="1:9" x14ac:dyDescent="0.25">
      <c r="A65" s="257" t="s">
        <v>236</v>
      </c>
      <c r="B65" s="257">
        <v>14</v>
      </c>
      <c r="C65" s="257">
        <f>Summary!BI66</f>
        <v>2.8157587649011592E-2</v>
      </c>
      <c r="D65" s="257">
        <f>Summary!BJ66</f>
        <v>8.5768426666128703E-3</v>
      </c>
      <c r="E65" s="257">
        <f t="shared" si="0"/>
        <v>1.9580744982398722E-2</v>
      </c>
      <c r="F65" s="257">
        <f>Summary!BI87</f>
        <v>2.6010163140661412E-2</v>
      </c>
      <c r="G65" s="257">
        <f>Summary!BJ87</f>
        <v>7.8509112956667501E-3</v>
      </c>
      <c r="H65" s="257">
        <f t="shared" si="1"/>
        <v>1.8159251844994662E-2</v>
      </c>
      <c r="I65" s="259">
        <f t="shared" si="2"/>
        <v>1.8869998413696694E-2</v>
      </c>
    </row>
    <row r="66" spans="1:9" x14ac:dyDescent="0.25">
      <c r="A66" s="257" t="s">
        <v>236</v>
      </c>
      <c r="B66" s="257">
        <v>15</v>
      </c>
      <c r="C66" s="257">
        <f>Summary!BI67</f>
        <v>2.9136162770692725E-2</v>
      </c>
      <c r="D66" s="257">
        <f>Summary!BJ67</f>
        <v>8.907647487407952E-3</v>
      </c>
      <c r="E66" s="257">
        <f t="shared" si="0"/>
        <v>2.0228515283284773E-2</v>
      </c>
      <c r="F66" s="257">
        <f>Summary!BI88</f>
        <v>2.643406175529292E-2</v>
      </c>
      <c r="G66" s="257">
        <f>Summary!BJ88</f>
        <v>7.994209139788884E-3</v>
      </c>
      <c r="H66" s="257">
        <f t="shared" si="1"/>
        <v>1.8439852615504036E-2</v>
      </c>
      <c r="I66" s="259">
        <f t="shared" si="2"/>
        <v>1.9334183949394405E-2</v>
      </c>
    </row>
    <row r="67" spans="1:9" x14ac:dyDescent="0.25">
      <c r="A67" s="257" t="s">
        <v>236</v>
      </c>
      <c r="B67" s="257">
        <v>16</v>
      </c>
      <c r="C67" s="257">
        <f>Summary!BI68</f>
        <v>2.6899277785778816E-2</v>
      </c>
      <c r="D67" s="257">
        <f>Summary!BJ68</f>
        <v>8.1514742308240028E-3</v>
      </c>
      <c r="E67" s="257">
        <f t="shared" si="0"/>
        <v>1.8747803554954812E-2</v>
      </c>
      <c r="F67" s="257">
        <f>Summary!BI89</f>
        <v>2.5328989809391741E-2</v>
      </c>
      <c r="G67" s="257">
        <f>Summary!BJ89</f>
        <v>7.6206423906143295E-3</v>
      </c>
      <c r="H67" s="257">
        <f t="shared" si="1"/>
        <v>1.7708347418777411E-2</v>
      </c>
      <c r="I67" s="259">
        <f t="shared" si="2"/>
        <v>1.8228075486866113E-2</v>
      </c>
    </row>
  </sheetData>
  <mergeCells count="2">
    <mergeCell ref="C2:E2"/>
    <mergeCell ref="F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Cooling Load</vt:lpstr>
      <vt:lpstr>LED Watts</vt:lpstr>
      <vt:lpstr>DI_EEM_Savings_16CTZ</vt:lpstr>
      <vt:lpstr>Multiplex_EEM_Savings_16CTZ</vt:lpstr>
      <vt:lpstr>Summary</vt:lpstr>
      <vt:lpstr>Calc Template Form</vt:lpstr>
      <vt:lpstr>DI_EEM_Savings_16CTZ!Print_Area</vt:lpstr>
      <vt:lpstr>Multiplex_EEM_Savings_16CTZ!Print_Area</vt:lpstr>
      <vt:lpstr>Summary!Print_Area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Ramin Faramarzi</dc:creator>
  <cp:lastModifiedBy>Scott Mitchell</cp:lastModifiedBy>
  <cp:lastPrinted>2007-10-22T22:57:09Z</cp:lastPrinted>
  <dcterms:created xsi:type="dcterms:W3CDTF">2001-10-31T07:23:22Z</dcterms:created>
  <dcterms:modified xsi:type="dcterms:W3CDTF">2017-02-07T21:57:42Z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</Properties>
</file>